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OPERTY_FOLDERS\VDG\budget\2018\"/>
    </mc:Choice>
  </mc:AlternateContent>
  <bookViews>
    <workbookView xWindow="0" yWindow="0" windowWidth="10350" windowHeight="4350" activeTab="2"/>
  </bookViews>
  <sheets>
    <sheet name="MNT Proposed Fee Schedule" sheetId="5" r:id="rId1"/>
    <sheet name="Proposed Reserve Plan" sheetId="6" r:id="rId2"/>
    <sheet name="Current Year Monthly" sheetId="4" r:id="rId3"/>
    <sheet name="Proposed Budget" sheetId="3" r:id="rId4"/>
    <sheet name="Notes" sheetId="2" r:id="rId5"/>
    <sheet name="Chart1" sheetId="7" r:id="rId6"/>
    <sheet name="Chart Info" sheetId="1" r:id="rId7"/>
  </sheets>
  <definedNames>
    <definedName name="ABD_TOTINC">'Proposed Budget'!$G$19</definedName>
    <definedName name="ANL_TOTINC">'Proposed Budget'!$H$19</definedName>
    <definedName name="MNT_NUMPMT">'MNT Proposed Fee Schedule'!$D$30</definedName>
    <definedName name="NFF_TOTINC">'Proposed Budget'!$J$19</definedName>
    <definedName name="NPF_TOTINC">'Proposed Budget'!$I$19</definedName>
    <definedName name="_xlnm.Print_Titles" localSheetId="2">'Current Year Monthly'!$A:$F,'Current Year Monthly'!$1:$5</definedName>
    <definedName name="_xlnm.Print_Titles" localSheetId="0">'MNT Proposed Fee Schedule'!$1:$9</definedName>
    <definedName name="_xlnm.Print_Titles" localSheetId="4">Notes!$1:$5</definedName>
    <definedName name="_xlnm.Print_Titles" localSheetId="3">'Proposed Budget'!$1:$5</definedName>
    <definedName name="_xlnm.Print_Titles" localSheetId="1">'Proposed Reserve Plan'!$1:$7</definedName>
    <definedName name="RES_OPTFND">'Proposed Reserve Plan'!$L:$L</definedName>
    <definedName name="RES_REQFND">'Proposed Reserve Plan'!$K:$K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4" l="1"/>
  <c r="U58" i="4" l="1"/>
  <c r="S54" i="4" l="1"/>
  <c r="J30" i="3" l="1"/>
  <c r="K30" i="3" s="1"/>
  <c r="H31" i="3"/>
  <c r="J31" i="3"/>
  <c r="I31" i="3" s="1"/>
  <c r="K31" i="3"/>
  <c r="H32" i="3"/>
  <c r="I32" i="3"/>
  <c r="J32" i="3"/>
  <c r="K32" i="3"/>
  <c r="H33" i="3"/>
  <c r="J33" i="3"/>
  <c r="I33" i="3" s="1"/>
  <c r="K33" i="3"/>
  <c r="I34" i="3"/>
  <c r="J34" i="3"/>
  <c r="K34" i="3"/>
  <c r="J35" i="3"/>
  <c r="I35" i="3" s="1"/>
  <c r="H36" i="3"/>
  <c r="I36" i="3"/>
  <c r="J36" i="3"/>
  <c r="K36" i="3"/>
  <c r="H37" i="3"/>
  <c r="J37" i="3"/>
  <c r="I37" i="3" s="1"/>
  <c r="K37" i="3"/>
  <c r="I38" i="3"/>
  <c r="J38" i="3"/>
  <c r="K38" i="3"/>
  <c r="J39" i="3"/>
  <c r="I39" i="3" s="1"/>
  <c r="K39" i="3"/>
  <c r="H40" i="3"/>
  <c r="J40" i="3"/>
  <c r="K40" i="3" s="1"/>
  <c r="J41" i="3"/>
  <c r="I41" i="3" s="1"/>
  <c r="K41" i="3"/>
  <c r="H42" i="3"/>
  <c r="I42" i="3"/>
  <c r="J42" i="3"/>
  <c r="K42" i="3"/>
  <c r="S40" i="4"/>
  <c r="I30" i="3" l="1"/>
  <c r="K35" i="3"/>
  <c r="I40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L26" i="6"/>
  <c r="K25" i="6"/>
  <c r="U96" i="4" s="1"/>
  <c r="J96" i="3" s="1"/>
  <c r="K96" i="3" s="1"/>
  <c r="G25" i="6"/>
  <c r="H25" i="6" s="1"/>
  <c r="K24" i="6"/>
  <c r="U95" i="4" s="1"/>
  <c r="J95" i="3" s="1"/>
  <c r="K95" i="3" s="1"/>
  <c r="G24" i="6"/>
  <c r="H24" i="6" s="1"/>
  <c r="K23" i="6"/>
  <c r="U94" i="4" s="1"/>
  <c r="J94" i="3" s="1"/>
  <c r="K94" i="3" s="1"/>
  <c r="G23" i="6"/>
  <c r="H23" i="6" s="1"/>
  <c r="K22" i="6"/>
  <c r="U93" i="4" s="1"/>
  <c r="J93" i="3" s="1"/>
  <c r="G22" i="6"/>
  <c r="H22" i="6" s="1"/>
  <c r="K21" i="6"/>
  <c r="U92" i="4" s="1"/>
  <c r="J92" i="3" s="1"/>
  <c r="K92" i="3" s="1"/>
  <c r="G21" i="6"/>
  <c r="H21" i="6" s="1"/>
  <c r="K20" i="6"/>
  <c r="U91" i="4" s="1"/>
  <c r="J91" i="3" s="1"/>
  <c r="K91" i="3" s="1"/>
  <c r="G20" i="6"/>
  <c r="H20" i="6" s="1"/>
  <c r="K19" i="6"/>
  <c r="U90" i="4" s="1"/>
  <c r="J90" i="3" s="1"/>
  <c r="K90" i="3" s="1"/>
  <c r="G19" i="6"/>
  <c r="H19" i="6" s="1"/>
  <c r="K18" i="6"/>
  <c r="U89" i="4" s="1"/>
  <c r="J89" i="3" s="1"/>
  <c r="K89" i="3" s="1"/>
  <c r="G18" i="6"/>
  <c r="H18" i="6" s="1"/>
  <c r="K17" i="6"/>
  <c r="U88" i="4" s="1"/>
  <c r="J88" i="3" s="1"/>
  <c r="K88" i="3" s="1"/>
  <c r="G17" i="6"/>
  <c r="H17" i="6" s="1"/>
  <c r="K16" i="6"/>
  <c r="U87" i="4" s="1"/>
  <c r="J87" i="3" s="1"/>
  <c r="K87" i="3" s="1"/>
  <c r="G16" i="6"/>
  <c r="H16" i="6" s="1"/>
  <c r="K15" i="6"/>
  <c r="U86" i="4" s="1"/>
  <c r="J86" i="3" s="1"/>
  <c r="K86" i="3" s="1"/>
  <c r="G15" i="6"/>
  <c r="H15" i="6" s="1"/>
  <c r="K14" i="6"/>
  <c r="U85" i="4" s="1"/>
  <c r="J85" i="3" s="1"/>
  <c r="K85" i="3" s="1"/>
  <c r="G14" i="6"/>
  <c r="H14" i="6" s="1"/>
  <c r="K13" i="6"/>
  <c r="U84" i="4" s="1"/>
  <c r="J84" i="3" s="1"/>
  <c r="K84" i="3" s="1"/>
  <c r="G13" i="6"/>
  <c r="H13" i="6" s="1"/>
  <c r="K12" i="6"/>
  <c r="U83" i="4" s="1"/>
  <c r="J83" i="3" s="1"/>
  <c r="K83" i="3" s="1"/>
  <c r="G12" i="6"/>
  <c r="H12" i="6" s="1"/>
  <c r="K11" i="6"/>
  <c r="U82" i="4" s="1"/>
  <c r="J82" i="3" s="1"/>
  <c r="K82" i="3" s="1"/>
  <c r="G11" i="6"/>
  <c r="H11" i="6" s="1"/>
  <c r="K10" i="6"/>
  <c r="U81" i="4" s="1"/>
  <c r="J81" i="3" s="1"/>
  <c r="K81" i="3" s="1"/>
  <c r="G10" i="6"/>
  <c r="H10" i="6" s="1"/>
  <c r="K9" i="6"/>
  <c r="G9" i="6"/>
  <c r="H9" i="6" s="1"/>
  <c r="D28" i="5"/>
  <c r="G26" i="5"/>
  <c r="E26" i="5"/>
  <c r="G25" i="5"/>
  <c r="E25" i="5"/>
  <c r="G24" i="5"/>
  <c r="E24" i="5"/>
  <c r="D15" i="5"/>
  <c r="G13" i="5"/>
  <c r="E13" i="5"/>
  <c r="G12" i="5"/>
  <c r="E12" i="5"/>
  <c r="G11" i="5"/>
  <c r="E11" i="5"/>
  <c r="T97" i="4"/>
  <c r="K97" i="4"/>
  <c r="J97" i="4"/>
  <c r="I97" i="4"/>
  <c r="H97" i="4"/>
  <c r="G97" i="4"/>
  <c r="G97" i="3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J72" i="3"/>
  <c r="I72" i="3"/>
  <c r="H72" i="3"/>
  <c r="G72" i="3"/>
  <c r="U68" i="4"/>
  <c r="T68" i="4"/>
  <c r="K68" i="4"/>
  <c r="J68" i="4"/>
  <c r="I68" i="4"/>
  <c r="H68" i="4"/>
  <c r="G68" i="4"/>
  <c r="G68" i="3"/>
  <c r="G53" i="2"/>
  <c r="J67" i="3"/>
  <c r="J66" i="3"/>
  <c r="K66" i="3" s="1"/>
  <c r="J65" i="3"/>
  <c r="J64" i="3"/>
  <c r="I64" i="3" s="1"/>
  <c r="J63" i="3"/>
  <c r="I63" i="3" s="1"/>
  <c r="J62" i="3"/>
  <c r="K62" i="3" s="1"/>
  <c r="T58" i="4"/>
  <c r="K58" i="4"/>
  <c r="J58" i="4"/>
  <c r="I58" i="4"/>
  <c r="H58" i="4"/>
  <c r="G58" i="4"/>
  <c r="G58" i="3"/>
  <c r="J57" i="3"/>
  <c r="K57" i="3" s="1"/>
  <c r="J56" i="3"/>
  <c r="I56" i="3" s="1"/>
  <c r="J55" i="3"/>
  <c r="I55" i="3" s="1"/>
  <c r="J54" i="3"/>
  <c r="I54" i="3" s="1"/>
  <c r="J53" i="3"/>
  <c r="J52" i="3"/>
  <c r="I52" i="3" s="1"/>
  <c r="J51" i="3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J47" i="3"/>
  <c r="B3" i="1" s="1"/>
  <c r="I47" i="3"/>
  <c r="H47" i="3"/>
  <c r="G47" i="3"/>
  <c r="U43" i="4"/>
  <c r="T43" i="4"/>
  <c r="K43" i="4"/>
  <c r="J43" i="4"/>
  <c r="I43" i="4"/>
  <c r="H43" i="4"/>
  <c r="G43" i="4"/>
  <c r="G43" i="3"/>
  <c r="J29" i="3"/>
  <c r="U18" i="4"/>
  <c r="T18" i="4"/>
  <c r="K18" i="4"/>
  <c r="J18" i="4"/>
  <c r="I18" i="4"/>
  <c r="H18" i="4"/>
  <c r="G18" i="4"/>
  <c r="G18" i="3"/>
  <c r="G14" i="2"/>
  <c r="M18" i="4"/>
  <c r="J17" i="3"/>
  <c r="K17" i="3" s="1"/>
  <c r="T13" i="4"/>
  <c r="K13" i="4"/>
  <c r="J13" i="4"/>
  <c r="I13" i="4"/>
  <c r="H13" i="4"/>
  <c r="G13" i="4"/>
  <c r="G13" i="3"/>
  <c r="G11" i="2"/>
  <c r="J12" i="3"/>
  <c r="I12" i="3" s="1"/>
  <c r="G10" i="2"/>
  <c r="J11" i="3"/>
  <c r="K11" i="3" s="1"/>
  <c r="G9" i="2"/>
  <c r="J10" i="3"/>
  <c r="I10" i="3" s="1"/>
  <c r="G8" i="2"/>
  <c r="H26" i="5" l="1"/>
  <c r="H25" i="5"/>
  <c r="H24" i="5"/>
  <c r="J19" i="4"/>
  <c r="K19" i="4"/>
  <c r="I11" i="3"/>
  <c r="J18" i="3"/>
  <c r="K52" i="3"/>
  <c r="I17" i="3"/>
  <c r="I18" i="3" s="1"/>
  <c r="E28" i="5"/>
  <c r="H73" i="4"/>
  <c r="H98" i="4" s="1"/>
  <c r="E15" i="5"/>
  <c r="I66" i="3"/>
  <c r="K72" i="3"/>
  <c r="H19" i="4"/>
  <c r="T19" i="4"/>
  <c r="L18" i="4"/>
  <c r="G73" i="4"/>
  <c r="G98" i="4" s="1"/>
  <c r="K18" i="3"/>
  <c r="G19" i="4"/>
  <c r="J73" i="4"/>
  <c r="J98" i="4" s="1"/>
  <c r="K64" i="3"/>
  <c r="G19" i="3"/>
  <c r="K73" i="4"/>
  <c r="K98" i="4" s="1"/>
  <c r="K99" i="4" s="1"/>
  <c r="K10" i="3"/>
  <c r="I19" i="4"/>
  <c r="K54" i="3"/>
  <c r="K55" i="3"/>
  <c r="I73" i="4"/>
  <c r="I98" i="4" s="1"/>
  <c r="U73" i="4"/>
  <c r="J68" i="3"/>
  <c r="B4" i="1" s="1"/>
  <c r="L97" i="4"/>
  <c r="I67" i="3"/>
  <c r="K67" i="3"/>
  <c r="K29" i="3"/>
  <c r="I29" i="3"/>
  <c r="J43" i="3"/>
  <c r="I51" i="3"/>
  <c r="K51" i="3"/>
  <c r="J58" i="3"/>
  <c r="L13" i="4"/>
  <c r="L58" i="4"/>
  <c r="K65" i="3"/>
  <c r="K56" i="3"/>
  <c r="I53" i="3"/>
  <c r="K53" i="3"/>
  <c r="T73" i="4"/>
  <c r="T98" i="4" s="1"/>
  <c r="K12" i="3"/>
  <c r="I65" i="3"/>
  <c r="U80" i="4"/>
  <c r="J80" i="3" s="1"/>
  <c r="J97" i="3" s="1"/>
  <c r="K26" i="6"/>
  <c r="G73" i="3"/>
  <c r="K47" i="3"/>
  <c r="L68" i="4"/>
  <c r="K63" i="3"/>
  <c r="K93" i="3"/>
  <c r="B6" i="1"/>
  <c r="L43" i="4"/>
  <c r="I57" i="3"/>
  <c r="H11" i="5" s="1"/>
  <c r="I62" i="3"/>
  <c r="B5" i="1"/>
  <c r="I97" i="3"/>
  <c r="J99" i="4" l="1"/>
  <c r="H99" i="4"/>
  <c r="H13" i="5"/>
  <c r="G99" i="4"/>
  <c r="L19" i="4"/>
  <c r="H12" i="5"/>
  <c r="T99" i="4"/>
  <c r="K80" i="3"/>
  <c r="O18" i="4"/>
  <c r="N18" i="4"/>
  <c r="I99" i="4"/>
  <c r="I58" i="3"/>
  <c r="K68" i="3"/>
  <c r="S29" i="4"/>
  <c r="S92" i="4"/>
  <c r="H92" i="3" s="1"/>
  <c r="P12" i="4"/>
  <c r="Q12" i="4" s="1"/>
  <c r="B7" i="1"/>
  <c r="K97" i="3"/>
  <c r="M97" i="4"/>
  <c r="B1" i="1"/>
  <c r="J73" i="3"/>
  <c r="J98" i="3" s="1"/>
  <c r="M58" i="4"/>
  <c r="M68" i="4"/>
  <c r="S31" i="4"/>
  <c r="G98" i="3"/>
  <c r="M43" i="4"/>
  <c r="P96" i="4"/>
  <c r="Q96" i="4" s="1"/>
  <c r="B2" i="1"/>
  <c r="K58" i="3"/>
  <c r="L73" i="4"/>
  <c r="L98" i="4" s="1"/>
  <c r="M13" i="4"/>
  <c r="M19" i="4" s="1"/>
  <c r="S67" i="4"/>
  <c r="H67" i="3" s="1"/>
  <c r="K43" i="3"/>
  <c r="I43" i="3"/>
  <c r="U97" i="4"/>
  <c r="U98" i="4" s="1"/>
  <c r="U9" i="4" s="1"/>
  <c r="J9" i="3" s="1"/>
  <c r="I68" i="3"/>
  <c r="J13" i="3" l="1"/>
  <c r="K13" i="3" s="1"/>
  <c r="I26" i="5"/>
  <c r="I25" i="5"/>
  <c r="I24" i="5"/>
  <c r="L99" i="4"/>
  <c r="S10" i="4"/>
  <c r="H10" i="3" s="1"/>
  <c r="S88" i="4"/>
  <c r="H88" i="3" s="1"/>
  <c r="S81" i="4"/>
  <c r="H81" i="3" s="1"/>
  <c r="K73" i="3"/>
  <c r="P17" i="4"/>
  <c r="P18" i="4" s="1"/>
  <c r="S34" i="4"/>
  <c r="H34" i="3" s="1"/>
  <c r="M73" i="4"/>
  <c r="M98" i="4" s="1"/>
  <c r="M99" i="4" s="1"/>
  <c r="U13" i="4"/>
  <c r="U19" i="4" s="1"/>
  <c r="U99" i="4" s="1"/>
  <c r="R96" i="4"/>
  <c r="S96" i="4" s="1"/>
  <c r="H96" i="3" s="1"/>
  <c r="S89" i="4"/>
  <c r="H89" i="3" s="1"/>
  <c r="S64" i="4"/>
  <c r="H64" i="3" s="1"/>
  <c r="S52" i="4"/>
  <c r="H52" i="3" s="1"/>
  <c r="H29" i="3"/>
  <c r="R12" i="4"/>
  <c r="S12" i="4" s="1"/>
  <c r="H12" i="3" s="1"/>
  <c r="S36" i="4"/>
  <c r="S65" i="4"/>
  <c r="H65" i="3" s="1"/>
  <c r="N13" i="4"/>
  <c r="N19" i="4" s="1"/>
  <c r="S84" i="4"/>
  <c r="H84" i="3" s="1"/>
  <c r="S41" i="4"/>
  <c r="H41" i="3" s="1"/>
  <c r="O58" i="4"/>
  <c r="S82" i="4"/>
  <c r="H82" i="3" s="1"/>
  <c r="S85" i="4"/>
  <c r="H85" i="3" s="1"/>
  <c r="K9" i="3"/>
  <c r="N58" i="4"/>
  <c r="H54" i="3"/>
  <c r="N97" i="4"/>
  <c r="S57" i="4"/>
  <c r="H57" i="3" s="1"/>
  <c r="G99" i="3"/>
  <c r="K98" i="3"/>
  <c r="N43" i="4"/>
  <c r="I73" i="3"/>
  <c r="I98" i="3" s="1"/>
  <c r="I9" i="3" s="1"/>
  <c r="S11" i="4"/>
  <c r="H11" i="3" s="1"/>
  <c r="J19" i="3" l="1"/>
  <c r="J99" i="3" s="1"/>
  <c r="K99" i="3" s="1"/>
  <c r="J26" i="5"/>
  <c r="J24" i="5"/>
  <c r="K24" i="5" s="1"/>
  <c r="J25" i="5"/>
  <c r="I11" i="5"/>
  <c r="J11" i="5" s="1"/>
  <c r="K11" i="5" s="1"/>
  <c r="I13" i="5"/>
  <c r="J13" i="5" s="1"/>
  <c r="K13" i="5" s="1"/>
  <c r="I12" i="5"/>
  <c r="J12" i="5" s="1"/>
  <c r="K12" i="5" s="1"/>
  <c r="Q17" i="4"/>
  <c r="Q18" i="4" s="1"/>
  <c r="S42" i="4"/>
  <c r="N73" i="4"/>
  <c r="N98" i="4" s="1"/>
  <c r="N99" i="4" s="1"/>
  <c r="O97" i="4"/>
  <c r="S37" i="4"/>
  <c r="S38" i="4"/>
  <c r="H38" i="3" s="1"/>
  <c r="S33" i="4"/>
  <c r="S63" i="4"/>
  <c r="H63" i="3" s="1"/>
  <c r="S91" i="4"/>
  <c r="H91" i="3" s="1"/>
  <c r="S87" i="4"/>
  <c r="H87" i="3" s="1"/>
  <c r="S93" i="4"/>
  <c r="H93" i="3" s="1"/>
  <c r="S86" i="4"/>
  <c r="H86" i="3" s="1"/>
  <c r="S90" i="4"/>
  <c r="H90" i="3" s="1"/>
  <c r="O43" i="4"/>
  <c r="P58" i="4"/>
  <c r="S55" i="4"/>
  <c r="H55" i="3" s="1"/>
  <c r="P97" i="4"/>
  <c r="P68" i="4"/>
  <c r="S39" i="4"/>
  <c r="H39" i="3" s="1"/>
  <c r="S51" i="4"/>
  <c r="O68" i="4"/>
  <c r="S95" i="4"/>
  <c r="H95" i="3" s="1"/>
  <c r="I13" i="3"/>
  <c r="I19" i="3" s="1"/>
  <c r="I99" i="3" s="1"/>
  <c r="O13" i="4"/>
  <c r="O19" i="4" s="1"/>
  <c r="P9" i="4"/>
  <c r="K19" i="3" l="1"/>
  <c r="L12" i="5"/>
  <c r="L24" i="5"/>
  <c r="L13" i="5"/>
  <c r="K25" i="5"/>
  <c r="L25" i="5"/>
  <c r="K26" i="5"/>
  <c r="L26" i="5"/>
  <c r="S56" i="4"/>
  <c r="H56" i="3" s="1"/>
  <c r="S35" i="4"/>
  <c r="H35" i="3" s="1"/>
  <c r="S83" i="4"/>
  <c r="H83" i="3" s="1"/>
  <c r="R17" i="4"/>
  <c r="R18" i="4" s="1"/>
  <c r="Q68" i="4"/>
  <c r="R58" i="4"/>
  <c r="O73" i="4"/>
  <c r="O98" i="4" s="1"/>
  <c r="O99" i="4" s="1"/>
  <c r="P43" i="4"/>
  <c r="P73" i="4" s="1"/>
  <c r="P98" i="4" s="1"/>
  <c r="S62" i="4"/>
  <c r="H62" i="3" s="1"/>
  <c r="S66" i="4"/>
  <c r="S32" i="4"/>
  <c r="S94" i="4"/>
  <c r="H94" i="3" s="1"/>
  <c r="Q43" i="4"/>
  <c r="Q58" i="4"/>
  <c r="L11" i="5"/>
  <c r="K15" i="5"/>
  <c r="H51" i="3"/>
  <c r="P13" i="4"/>
  <c r="P19" i="4" s="1"/>
  <c r="Q9" i="4"/>
  <c r="Q13" i="4" s="1"/>
  <c r="Q19" i="4" s="1"/>
  <c r="S53" i="4"/>
  <c r="H53" i="3" s="1"/>
  <c r="K28" i="5" l="1"/>
  <c r="S17" i="4"/>
  <c r="H17" i="3" s="1"/>
  <c r="H18" i="3" s="1"/>
  <c r="R97" i="4"/>
  <c r="P99" i="4"/>
  <c r="R68" i="4"/>
  <c r="H66" i="3"/>
  <c r="H68" i="3" s="1"/>
  <c r="S68" i="4"/>
  <c r="Q97" i="4"/>
  <c r="S80" i="4"/>
  <c r="S97" i="4" s="1"/>
  <c r="H58" i="3"/>
  <c r="R43" i="4"/>
  <c r="Q73" i="4"/>
  <c r="R9" i="4"/>
  <c r="R13" i="4" s="1"/>
  <c r="R19" i="4" s="1"/>
  <c r="S58" i="4"/>
  <c r="R73" i="4" l="1"/>
  <c r="R98" i="4" s="1"/>
  <c r="R99" i="4" s="1"/>
  <c r="S18" i="4"/>
  <c r="Q98" i="4"/>
  <c r="Q99" i="4" s="1"/>
  <c r="H80" i="3"/>
  <c r="H97" i="3" s="1"/>
  <c r="S30" i="4"/>
  <c r="S9" i="4"/>
  <c r="S43" i="4" l="1"/>
  <c r="S73" i="4" s="1"/>
  <c r="S98" i="4" s="1"/>
  <c r="H30" i="3"/>
  <c r="H43" i="3"/>
  <c r="H73" i="3" s="1"/>
  <c r="H98" i="3" s="1"/>
  <c r="H9" i="3"/>
  <c r="H13" i="3" s="1"/>
  <c r="H19" i="3" s="1"/>
  <c r="S13" i="4"/>
  <c r="S19" i="4" s="1"/>
  <c r="S99" i="4" s="1"/>
  <c r="H99" i="3" l="1"/>
</calcChain>
</file>

<file path=xl/sharedStrings.xml><?xml version="1.0" encoding="utf-8"?>
<sst xmlns="http://schemas.openxmlformats.org/spreadsheetml/2006/main" count="669" uniqueCount="224">
  <si>
    <t>ACOUNT</t>
  </si>
  <si>
    <t>ADIV</t>
  </si>
  <si>
    <t>ASUBAC</t>
  </si>
  <si>
    <t>ATYPE</t>
  </si>
  <si>
    <t>ALEVEL</t>
  </si>
  <si>
    <t>ADESC</t>
  </si>
  <si>
    <t>Notes</t>
  </si>
  <si>
    <t>VILLAS DE GOLF CONDOMINIUM</t>
  </si>
  <si>
    <t>Proposed Budget</t>
  </si>
  <si>
    <t>For 1/01/2018 to 12/31/2018</t>
  </si>
  <si>
    <t>Account</t>
  </si>
  <si>
    <t>Division</t>
  </si>
  <si>
    <t>Sub</t>
  </si>
  <si>
    <t>Type</t>
  </si>
  <si>
    <t>Level</t>
  </si>
  <si>
    <t>ABDAMT</t>
  </si>
  <si>
    <t>ANLAMT</t>
  </si>
  <si>
    <t>NABDPF</t>
  </si>
  <si>
    <t>NABDFF</t>
  </si>
  <si>
    <t>NABIFF</t>
  </si>
  <si>
    <t>Board Signature: ________________________________</t>
  </si>
  <si>
    <t>Approval Date:    _______________________________</t>
  </si>
  <si>
    <t>2017 Annual Budget</t>
  </si>
  <si>
    <t>2017 Projected Expenses</t>
  </si>
  <si>
    <t>2018 Proposed w/Partial Reserves</t>
  </si>
  <si>
    <t>2018 Proposed w/Full Reserves</t>
  </si>
  <si>
    <t>2018 % Increase (Decrease)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</si>
  <si>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</si>
  <si>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</si>
  <si>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</si>
  <si>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</si>
  <si>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</si>
  <si>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</si>
  <si>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</si>
  <si>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</si>
  <si>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</si>
  <si>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</si>
  <si>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</si>
  <si>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</si>
  <si>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NOTES</t>
  </si>
  <si>
    <t>Projected through 12/31/2017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</si>
  <si>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</si>
  <si>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</si>
  <si>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</si>
  <si>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</si>
  <si>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</si>
  <si>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</si>
  <si>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</si>
  <si>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</si>
  <si>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</si>
  <si>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</si>
  <si>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</si>
  <si>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</si>
  <si>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Projected / Actual</t>
  </si>
  <si>
    <t>2018 Proposed Annual</t>
  </si>
  <si>
    <t>H</t>
  </si>
  <si>
    <t>INCOME</t>
  </si>
  <si>
    <t>M</t>
  </si>
  <si>
    <t>1010-Maintenance Fees</t>
  </si>
  <si>
    <t>1040-Miscellaneous</t>
  </si>
  <si>
    <t>1050-Application Fees</t>
  </si>
  <si>
    <t>1800-Operating Interest</t>
  </si>
  <si>
    <t>T</t>
  </si>
  <si>
    <t>OPERATING INCOME</t>
  </si>
  <si>
    <t>OTHER INCOME</t>
  </si>
  <si>
    <t>1995-Reserve Interest</t>
  </si>
  <si>
    <t>TOTAL OTHER INCOME</t>
  </si>
  <si>
    <t>TOTAL INCOME</t>
  </si>
  <si>
    <t>EXPENSES &amp; RESERVE FUNDING</t>
  </si>
  <si>
    <t>MAINTENANCE &amp; REPAIR</t>
  </si>
  <si>
    <t>2020-Pool Service</t>
  </si>
  <si>
    <t>2045-Bldg Maintenance &amp; Repair</t>
  </si>
  <si>
    <t>2047-North Fence</t>
  </si>
  <si>
    <t>2048-Fire Alarm &amp; Equipment</t>
  </si>
  <si>
    <t>2056-Janitorial Salary/Sup</t>
  </si>
  <si>
    <t>2060-Elevator Maintenance</t>
  </si>
  <si>
    <t>2070-Lawn &amp; Landscape Care</t>
  </si>
  <si>
    <t>2071-Grounds Improvements</t>
  </si>
  <si>
    <t>2072-Fert/Weed/Pests</t>
  </si>
  <si>
    <t>2074-Irrigation</t>
  </si>
  <si>
    <t>2075-Laundry Room Maintenance</t>
  </si>
  <si>
    <t>2080-Pest Control</t>
  </si>
  <si>
    <t>2099-Security</t>
  </si>
  <si>
    <t>TOTAL MAINTENANCE &amp; REPAIR</t>
  </si>
  <si>
    <t>ASSOCIATION UNIT EXPENSE</t>
  </si>
  <si>
    <t>TOTAL ASSOCIATION UNIT EXPENSE</t>
  </si>
  <si>
    <t>UTILITIES</t>
  </si>
  <si>
    <t>4010-Electric</t>
  </si>
  <si>
    <t>4015-Storm Water</t>
  </si>
  <si>
    <t>4020-Water</t>
  </si>
  <si>
    <t>4030-Sewer</t>
  </si>
  <si>
    <t>4040-Trash</t>
  </si>
  <si>
    <t>4050-Telephone</t>
  </si>
  <si>
    <t>4070-Cable TV</t>
  </si>
  <si>
    <t>TOTAL UTILITIES</t>
  </si>
  <si>
    <t>ADMINISTRATIVE</t>
  </si>
  <si>
    <t>5010-Management Fee</t>
  </si>
  <si>
    <t>5011-Office Supplies/Postage</t>
  </si>
  <si>
    <t>5015-Division Fees</t>
  </si>
  <si>
    <t>5016-Licenses/Permits/Taxes</t>
  </si>
  <si>
    <t>5030-Professional Fees</t>
  </si>
  <si>
    <t>5032-Accrued Collection Income</t>
  </si>
  <si>
    <t>TOTAL ADMINISTRATIVE</t>
  </si>
  <si>
    <t>OPERATING CAPITAL</t>
  </si>
  <si>
    <t>TOTAL OPERATING CAPITAL</t>
  </si>
  <si>
    <t>TOTAL OPERATING EXPENSES</t>
  </si>
  <si>
    <t>RESERVE FUNDING</t>
  </si>
  <si>
    <t>9010-Painting</t>
  </si>
  <si>
    <t>9020-Roofing</t>
  </si>
  <si>
    <t>9030-Paving</t>
  </si>
  <si>
    <t>9040-Pool</t>
  </si>
  <si>
    <t>9045-Landscaping</t>
  </si>
  <si>
    <t>9050-Structural Buildings</t>
  </si>
  <si>
    <t>9051-Walkways/Stairways</t>
  </si>
  <si>
    <t>9052-Carport Paint &amp; Replace</t>
  </si>
  <si>
    <t>9056-Sewer</t>
  </si>
  <si>
    <t>9058-Grounds Infrastructure</t>
  </si>
  <si>
    <t>9064-Elevator</t>
  </si>
  <si>
    <t>9073-Rec/Maint/Clubhouse</t>
  </si>
  <si>
    <t>9074-Laundry Rooms, Washer/Dry</t>
  </si>
  <si>
    <t>9075-Insurance</t>
  </si>
  <si>
    <t>9078-Fire Alarm System</t>
  </si>
  <si>
    <t>9090-Deferred Maintenance</t>
  </si>
  <si>
    <t>9095-Reserve Interest</t>
  </si>
  <si>
    <t>TOTAL RESERVE FUNDING</t>
  </si>
  <si>
    <t>TOTAL DISBURSEMENTS</t>
  </si>
  <si>
    <t>NET(INCOME LESS DISBURSEMENTS)</t>
  </si>
  <si>
    <t>State Mandated Budget Items</t>
  </si>
  <si>
    <t>Rent for recreational/other commonly used facility</t>
  </si>
  <si>
    <t>N/A</t>
  </si>
  <si>
    <t>Taxes upon association property</t>
  </si>
  <si>
    <t>Taxes upon leased areas</t>
  </si>
  <si>
    <t>Operating Capital</t>
  </si>
  <si>
    <t>Security provisions</t>
  </si>
  <si>
    <t>Division Fees</t>
  </si>
  <si>
    <t>Management Fees</t>
  </si>
  <si>
    <t>ACDESC</t>
  </si>
  <si>
    <t>ACCODE</t>
  </si>
  <si>
    <t>PCTOWN</t>
  </si>
  <si>
    <t>NUMOWN</t>
  </si>
  <si>
    <t>PCTTOT</t>
  </si>
  <si>
    <t>CURAMT</t>
  </si>
  <si>
    <t>CURANL</t>
  </si>
  <si>
    <t>BUDAMT</t>
  </si>
  <si>
    <t>ANPAMT</t>
  </si>
  <si>
    <t>RNDMNT</t>
  </si>
  <si>
    <t>Maintenance Fee</t>
  </si>
  <si>
    <t>Proposed Fee Schedule for Year</t>
  </si>
  <si>
    <t>1/01/2018 to 12/31/2018</t>
  </si>
  <si>
    <t>Maintenance Fees With Partially Funded Reserves</t>
  </si>
  <si>
    <t>Description</t>
  </si>
  <si>
    <t>Class Type</t>
  </si>
  <si>
    <t>% of Own</t>
  </si>
  <si>
    <t># Units</t>
  </si>
  <si>
    <t>% Own by Class</t>
  </si>
  <si>
    <t>2017 Monthly</t>
  </si>
  <si>
    <t>2017 Annual</t>
  </si>
  <si>
    <t>2018 Proposed Monthly</t>
  </si>
  <si>
    <t>Totals</t>
  </si>
  <si>
    <t>Number of Payments Each Year</t>
  </si>
  <si>
    <t>Maintenance Fees With Fully Funded Reserves</t>
  </si>
  <si>
    <t>TOTFND</t>
  </si>
  <si>
    <t>ENDBAL</t>
  </si>
  <si>
    <t>ADDEXP</t>
  </si>
  <si>
    <t>ESTRBL</t>
  </si>
  <si>
    <t>REMFN2</t>
  </si>
  <si>
    <t>TOTLIF</t>
  </si>
  <si>
    <t>REMLIF</t>
  </si>
  <si>
    <t>REQFN2</t>
  </si>
  <si>
    <t>OPTFND</t>
  </si>
  <si>
    <t>Proposed Reserve Plan</t>
  </si>
  <si>
    <t>for 1/01/2018 to 12/31/2018</t>
  </si>
  <si>
    <t>Reserve Item</t>
  </si>
  <si>
    <t>Repair/ Replace Cost</t>
  </si>
  <si>
    <t>2017 funding less exp as of 5/31/2017</t>
  </si>
  <si>
    <t>Anticipated exp 6/01/2017-12/31/2017</t>
  </si>
  <si>
    <t>Estimated Reserve Balance on 1/01/2018</t>
  </si>
  <si>
    <t>Remaining Unreserved Funds</t>
  </si>
  <si>
    <t>Est New Life</t>
  </si>
  <si>
    <t>Rem Life Yrs</t>
  </si>
  <si>
    <t>2018 Reserve Required</t>
  </si>
  <si>
    <t>2018 Optional Partial Funding</t>
  </si>
  <si>
    <t>The Association's board of directors estimated the remaining useful lives and replacement costs of the reserve items. The estimates were based on internal projections.</t>
  </si>
  <si>
    <t>The Association's current policy is to not allocate interest monthly unless a motion is made by the Board of Directors.</t>
  </si>
  <si>
    <t>The association's reserves were waived for the period.</t>
  </si>
  <si>
    <t>2018 Cable Fee</t>
  </si>
  <si>
    <t>2018 Common Fee</t>
  </si>
  <si>
    <t>Maintenance &amp; Repair</t>
  </si>
  <si>
    <t>Utilities</t>
  </si>
  <si>
    <t>Administrative</t>
  </si>
  <si>
    <t>Insurance</t>
  </si>
  <si>
    <t>Reserves</t>
  </si>
  <si>
    <t>Association Unit Expense</t>
  </si>
  <si>
    <r>
      <t xml:space="preserve">Handy Andy's janitorial contract in place for the community.  Increase did take place in 2017.  </t>
    </r>
    <r>
      <rPr>
        <b/>
        <sz val="8"/>
        <color theme="1"/>
        <rFont val="Calibri"/>
        <family val="2"/>
        <scheme val="minor"/>
      </rPr>
      <t>Kept the same for 2018.</t>
    </r>
  </si>
  <si>
    <r>
      <t>This category supports the security camera in community.</t>
    </r>
    <r>
      <rPr>
        <b/>
        <sz val="8"/>
        <color theme="1"/>
        <rFont val="Calibri"/>
        <family val="2"/>
        <scheme val="minor"/>
      </rPr>
      <t xml:space="preserve">  Kept the same for 2018.</t>
    </r>
  </si>
  <si>
    <t>REMOVE THIS LINE FOR 2018 Budget</t>
  </si>
  <si>
    <r>
      <t>Actuals through year end.  This category is $350.00 for routine fet/pest applications. In addition, there are several other applications of possible treatements that this category supports</t>
    </r>
    <r>
      <rPr>
        <b/>
        <sz val="8"/>
        <rFont val="Calibri"/>
        <family val="2"/>
        <scheme val="minor"/>
      </rPr>
      <t>. Kept the same for 2018.</t>
    </r>
  </si>
  <si>
    <r>
      <t xml:space="preserve">Actuals through year end. Pinellas County Utilites anticipated increase of 4%.  </t>
    </r>
    <r>
      <rPr>
        <b/>
        <sz val="8"/>
        <rFont val="Calibri"/>
        <family val="2"/>
        <scheme val="minor"/>
      </rPr>
      <t>Kept the same for 2018.</t>
    </r>
  </si>
  <si>
    <r>
      <t>Actuals through year end. Division fees are charged in November of every year</t>
    </r>
    <r>
      <rPr>
        <b/>
        <sz val="8"/>
        <color theme="1"/>
        <rFont val="Calibri"/>
        <family val="2"/>
        <scheme val="minor"/>
      </rPr>
      <t>. Kept the same for 2018.</t>
    </r>
  </si>
  <si>
    <t>Permiter fence installed early this year.  Reduced for this year until Board provides their feedback to move to reserve and fund through next replacement time.</t>
  </si>
  <si>
    <t>2076-Sprinkler Repairs</t>
  </si>
  <si>
    <t>New Category for 2018.</t>
  </si>
  <si>
    <t>Actuals through year end.  Westcoast contract in place for the community. Westcoast increase of 3% 1/2018.</t>
  </si>
  <si>
    <r>
      <t xml:space="preserve">Actuals through year end. Elevator permits of $75.00 for 2 elevators, CPA tax prep, pool permit $300.00, and POCTS fee of $200.00.  </t>
    </r>
    <r>
      <rPr>
        <b/>
        <sz val="8"/>
        <color theme="1"/>
        <rFont val="Calibri"/>
        <family val="2"/>
        <scheme val="minor"/>
      </rPr>
      <t xml:space="preserve">Kept the same for 2018. </t>
    </r>
    <r>
      <rPr>
        <b/>
        <sz val="8"/>
        <color rgb="FFFF0000"/>
        <rFont val="Calibri"/>
        <family val="2"/>
        <scheme val="minor"/>
      </rPr>
      <t>The Association sold unit 10106 and paid the IRS in March, $4,569.00.</t>
    </r>
  </si>
  <si>
    <r>
      <t xml:space="preserve">Actuals through year end. Anchor Pool Service contract in place for the community.No increase for 2018.  This category does support some of the repairs as well. </t>
    </r>
    <r>
      <rPr>
        <b/>
        <sz val="8"/>
        <color theme="1"/>
        <rFont val="Calibri"/>
        <family val="2"/>
        <scheme val="minor"/>
      </rPr>
      <t>Kept same for 2018</t>
    </r>
    <r>
      <rPr>
        <sz val="8"/>
        <color theme="1"/>
        <rFont val="Calibri"/>
        <family val="2"/>
        <scheme val="minor"/>
      </rPr>
      <t>.</t>
    </r>
  </si>
  <si>
    <r>
      <t xml:space="preserve">Actuals through year end.  Bright House cable contract anticipated increase of 6%. </t>
    </r>
    <r>
      <rPr>
        <b/>
        <sz val="8"/>
        <rFont val="Calibri"/>
        <family val="2"/>
        <scheme val="minor"/>
      </rPr>
      <t xml:space="preserve"> Increased for 2018.</t>
    </r>
  </si>
  <si>
    <t>Actual Months as of 9/30/2017</t>
  </si>
  <si>
    <r>
      <t xml:space="preserve">Actuals through 9/17. Projections to year end.  </t>
    </r>
    <r>
      <rPr>
        <b/>
        <sz val="8"/>
        <rFont val="Calibri"/>
        <family val="2"/>
        <scheme val="minor"/>
      </rPr>
      <t>Kept the same for 2018.</t>
    </r>
  </si>
  <si>
    <r>
      <t xml:space="preserve">Actuals through 9/17. Piper Fire contract in place for the community. </t>
    </r>
    <r>
      <rPr>
        <b/>
        <sz val="8"/>
        <color theme="1"/>
        <rFont val="Calibri"/>
        <family val="2"/>
        <scheme val="minor"/>
      </rPr>
      <t>Kept the same for 2018.</t>
    </r>
  </si>
  <si>
    <t xml:space="preserve">Actuals through 9/17. This line item really just supports misc purchases that may arise in the community. </t>
  </si>
  <si>
    <r>
      <t>Actuals through 9/17. Projections through year end using the 2016 GL. Westcoast contract in place for community. This category supports a monthly about of $400.00, plus any repairs for that month. Adding a new cateogry this year that supports only repairs.</t>
    </r>
    <r>
      <rPr>
        <b/>
        <sz val="8"/>
        <color rgb="FFFF0000"/>
        <rFont val="Calibri"/>
        <family val="2"/>
        <scheme val="minor"/>
      </rPr>
      <t xml:space="preserve"> REDUCED FOR 2018.</t>
    </r>
  </si>
  <si>
    <r>
      <t xml:space="preserve">Actuals through 9/17. This category supports the maintenance of the remaining washers and dryers. </t>
    </r>
    <r>
      <rPr>
        <b/>
        <sz val="8"/>
        <color theme="1"/>
        <rFont val="Calibri"/>
        <family val="2"/>
        <scheme val="minor"/>
      </rPr>
      <t>Kept the same for 2018.</t>
    </r>
  </si>
  <si>
    <r>
      <t xml:space="preserve">Actuals through 9/17.  Soles Exterminating contract in place which is $595.00 twice a year.  In addition, bi-monthly monitoring for the bait boxes totals $570.00. </t>
    </r>
    <r>
      <rPr>
        <b/>
        <sz val="8"/>
        <color theme="1"/>
        <rFont val="Calibri"/>
        <family val="2"/>
        <scheme val="minor"/>
      </rPr>
      <t xml:space="preserve"> Kept the same for 2018.</t>
    </r>
  </si>
  <si>
    <r>
      <t>Actuals through 9/17,  Duke Energy anticipated increase of 5%.  Projections through year end using the 2016 GL.</t>
    </r>
    <r>
      <rPr>
        <b/>
        <sz val="8"/>
        <rFont val="Calibri"/>
        <family val="2"/>
        <scheme val="minor"/>
      </rPr>
      <t xml:space="preserve">  Reduced for 2018.</t>
    </r>
  </si>
  <si>
    <r>
      <t>Actuals through 9/17. Pinellas County Utilities anticipated increase of 2.5%.</t>
    </r>
    <r>
      <rPr>
        <b/>
        <sz val="8"/>
        <color theme="1"/>
        <rFont val="Calibri"/>
        <family val="2"/>
        <scheme val="minor"/>
      </rPr>
      <t xml:space="preserve">  Increased for 2018.</t>
    </r>
  </si>
  <si>
    <r>
      <t>Actuals through 9/17. Projections through year end using the 2016 GL.  Pinellas County Utilities anticipated increase of 4%.</t>
    </r>
    <r>
      <rPr>
        <b/>
        <sz val="8"/>
        <color theme="1"/>
        <rFont val="Calibri"/>
        <family val="2"/>
        <scheme val="minor"/>
      </rPr>
      <t xml:space="preserve"> Increased for 2018.</t>
    </r>
  </si>
  <si>
    <r>
      <t xml:space="preserve">Actuals through 9/17. Pinellas County Utilities anticipated increase of 5%. </t>
    </r>
    <r>
      <rPr>
        <b/>
        <sz val="8"/>
        <rFont val="Calibri"/>
        <family val="2"/>
        <scheme val="minor"/>
      </rPr>
      <t>Kept the same for 2018.</t>
    </r>
  </si>
  <si>
    <r>
      <t xml:space="preserve">Actuals through 9/17.  Projections through to year end using the 6 GL.  Verizon phone service anticipated increase of 5%. The category also supports a small BrightHouse monthly bill as well.  </t>
    </r>
    <r>
      <rPr>
        <b/>
        <sz val="8"/>
        <color theme="1"/>
        <rFont val="Calibri"/>
        <family val="2"/>
        <scheme val="minor"/>
      </rPr>
      <t>Kept the same for 2018.</t>
    </r>
  </si>
  <si>
    <r>
      <t>Actuals through year end. RPM contract renews in May every year.</t>
    </r>
    <r>
      <rPr>
        <b/>
        <sz val="8"/>
        <color theme="1"/>
        <rFont val="Calibri"/>
        <family val="2"/>
        <scheme val="minor"/>
      </rPr>
      <t xml:space="preserve"> </t>
    </r>
  </si>
  <si>
    <r>
      <t>Actuals through 9/17. Projections through to year end using the 2016 GL.  December billing includes the phonebook directory printing, annual coupons, mailings, postage, etc.</t>
    </r>
    <r>
      <rPr>
        <b/>
        <sz val="8"/>
        <rFont val="Calibri"/>
        <family val="2"/>
        <scheme val="minor"/>
      </rPr>
      <t xml:space="preserve"> Increased for 2018.</t>
    </r>
  </si>
  <si>
    <r>
      <t>Actuals through 9/17.Projections through year end  using the 2017 GL. The Association has some increased attorney's fees for 2017.</t>
    </r>
    <r>
      <rPr>
        <b/>
        <sz val="8"/>
        <color theme="1"/>
        <rFont val="Calibri"/>
        <family val="2"/>
        <scheme val="minor"/>
      </rPr>
      <t xml:space="preserve"> Kept the same for 2018.</t>
    </r>
  </si>
  <si>
    <r>
      <t xml:space="preserve">Projection in November using the 2016 GL and 4.5 increase.  Otis Elevator invoice is November annually for this community. Anticipated increase of  4.5% </t>
    </r>
    <r>
      <rPr>
        <b/>
        <sz val="8"/>
        <rFont val="Calibri"/>
        <family val="2"/>
        <scheme val="minor"/>
      </rPr>
      <t>Increased for 2018.</t>
    </r>
  </si>
  <si>
    <r>
      <t>Actuals through 9/17. Projections through year end using the 2016 GL. Westcoast contract in place for community. This category supports a monthly about of $400.00, plus any repairs for that month. Adding a new cateogry this year that supports only repairs.</t>
    </r>
    <r>
      <rPr>
        <b/>
        <sz val="8"/>
        <rFont val="Calibri"/>
        <family val="2"/>
        <scheme val="minor"/>
      </rPr>
      <t xml:space="preserve"> REDUCED FOR 2018.</t>
    </r>
  </si>
  <si>
    <r>
      <t xml:space="preserve">Actuals through year end. Elevator permits of $75.00 for 2 elevators, CPA tax prep, pool permit $300.00, and POCTS fee of $200.00.  </t>
    </r>
    <r>
      <rPr>
        <b/>
        <sz val="8"/>
        <rFont val="Calibri"/>
        <family val="2"/>
        <scheme val="minor"/>
      </rPr>
      <t>Kept the same for 2018. The Association sold unit 10106 and paid the IRS in March, $4,569.00.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</si>
</sst>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#0_);[Red]\(###0\);0_)"/>
    <numFmt numFmtId="165" formatCode="#,##0_);[Red]\(#,##0\);0_)"/>
    <numFmt numFmtId="166" formatCode="#,##0.00_);[Red]\(#,##0.00\);0.00_)"/>
    <numFmt numFmtId="167" formatCode="#,##0.00%"/>
    <numFmt numFmtId="168" formatCode="#,##0.00000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64" fontId="0" fillId="0" borderId="0" xfId="0" applyNumberFormat="1" applyProtection="1"/>
    <xf numFmtId="164" fontId="0" fillId="0" borderId="0" xfId="0" applyNumberFormat="1"/>
    <xf numFmtId="0" fontId="0" fillId="0" borderId="0" xfId="0" applyNumberFormat="1" applyProtection="1"/>
    <xf numFmtId="0" fontId="0" fillId="0" borderId="0" xfId="0" applyNumberFormat="1"/>
    <xf numFmtId="0" fontId="0" fillId="0" borderId="0" xfId="0" applyNumberFormat="1" applyAlignment="1" applyProtection="1">
      <alignment horizontal="left" wrapText="1"/>
    </xf>
    <xf numFmtId="165" fontId="0" fillId="0" borderId="0" xfId="0" applyNumberFormat="1" applyProtection="1"/>
    <xf numFmtId="165" fontId="0" fillId="0" borderId="0" xfId="0" applyNumberFormat="1"/>
    <xf numFmtId="0" fontId="1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>
      <alignment horizontal="left" wrapText="1"/>
    </xf>
    <xf numFmtId="164" fontId="1" fillId="0" borderId="0" xfId="0" applyNumberFormat="1" applyFont="1" applyAlignment="1" applyProtection="1">
      <alignment horizontal="right" wrapText="1"/>
    </xf>
    <xf numFmtId="0" fontId="1" fillId="0" borderId="0" xfId="0" applyNumberFormat="1" applyFont="1" applyAlignment="1" applyProtection="1">
      <alignment horizontal="left" wrapText="1"/>
    </xf>
    <xf numFmtId="165" fontId="1" fillId="0" borderId="0" xfId="0" applyNumberFormat="1" applyFont="1" applyAlignment="1" applyProtection="1">
      <alignment horizontal="right" wrapText="1"/>
    </xf>
    <xf numFmtId="166" fontId="0" fillId="0" borderId="0" xfId="0" applyNumberFormat="1" applyProtection="1"/>
    <xf numFmtId="166" fontId="0" fillId="0" borderId="0" xfId="0" applyNumberFormat="1"/>
    <xf numFmtId="167" fontId="0" fillId="0" borderId="0" xfId="0" applyNumberFormat="1" applyProtection="1"/>
    <xf numFmtId="167" fontId="0" fillId="0" borderId="0" xfId="0" applyNumberFormat="1"/>
    <xf numFmtId="166" fontId="1" fillId="0" borderId="0" xfId="0" applyNumberFormat="1" applyFont="1" applyAlignment="1" applyProtection="1">
      <alignment horizontal="center" wrapText="1"/>
    </xf>
    <xf numFmtId="167" fontId="1" fillId="0" borderId="0" xfId="0" applyNumberFormat="1" applyFont="1" applyAlignment="1" applyProtection="1">
      <alignment horizontal="center" wrapText="1"/>
    </xf>
    <xf numFmtId="166" fontId="0" fillId="2" borderId="0" xfId="0" applyNumberFormat="1" applyFill="1"/>
    <xf numFmtId="166" fontId="0" fillId="3" borderId="0" xfId="0" applyNumberFormat="1" applyFill="1"/>
    <xf numFmtId="164" fontId="1" fillId="0" borderId="0" xfId="0" applyNumberFormat="1" applyFont="1"/>
    <xf numFmtId="0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0" fontId="1" fillId="0" borderId="0" xfId="0" applyFont="1"/>
    <xf numFmtId="164" fontId="1" fillId="0" borderId="0" xfId="0" applyNumberFormat="1" applyFont="1" applyProtection="1"/>
    <xf numFmtId="0" fontId="1" fillId="0" borderId="0" xfId="0" applyNumberFormat="1" applyFont="1" applyProtection="1"/>
    <xf numFmtId="165" fontId="1" fillId="0" borderId="0" xfId="0" applyNumberFormat="1" applyFont="1" applyProtection="1"/>
    <xf numFmtId="166" fontId="1" fillId="0" borderId="0" xfId="0" applyNumberFormat="1" applyFont="1" applyProtection="1"/>
    <xf numFmtId="0" fontId="1" fillId="0" borderId="0" xfId="0" applyNumberFormat="1" applyFont="1" applyAlignment="1">
      <alignment horizontal="left" wrapText="1"/>
    </xf>
    <xf numFmtId="166" fontId="0" fillId="0" borderId="0" xfId="0" applyNumberFormat="1" applyProtection="1">
      <protection locked="0"/>
    </xf>
    <xf numFmtId="166" fontId="0" fillId="0" borderId="1" xfId="0" applyNumberFormat="1" applyBorder="1" applyProtection="1"/>
    <xf numFmtId="167" fontId="0" fillId="0" borderId="1" xfId="0" applyNumberFormat="1" applyBorder="1" applyProtection="1"/>
    <xf numFmtId="0" fontId="1" fillId="0" borderId="0" xfId="0" applyFont="1" applyAlignment="1">
      <alignment horizontal="left" wrapText="1"/>
    </xf>
    <xf numFmtId="164" fontId="2" fillId="0" borderId="0" xfId="0" applyNumberFormat="1" applyFont="1" applyProtection="1"/>
    <xf numFmtId="0" fontId="2" fillId="0" borderId="0" xfId="0" applyNumberFormat="1" applyFont="1" applyProtection="1"/>
    <xf numFmtId="165" fontId="2" fillId="0" borderId="0" xfId="0" applyNumberFormat="1" applyFont="1" applyProtection="1"/>
    <xf numFmtId="166" fontId="2" fillId="0" borderId="0" xfId="0" applyNumberFormat="1" applyFont="1" applyProtection="1"/>
    <xf numFmtId="166" fontId="2" fillId="2" borderId="0" xfId="0" applyNumberFormat="1" applyFont="1" applyFill="1" applyProtection="1"/>
    <xf numFmtId="166" fontId="2" fillId="3" borderId="0" xfId="0" applyNumberFormat="1" applyFont="1" applyFill="1" applyProtection="1"/>
    <xf numFmtId="164" fontId="2" fillId="0" borderId="0" xfId="0" applyNumberFormat="1" applyFont="1"/>
    <xf numFmtId="0" fontId="2" fillId="0" borderId="0" xfId="0" applyNumberFormat="1" applyFont="1"/>
    <xf numFmtId="165" fontId="2" fillId="0" borderId="0" xfId="0" applyNumberFormat="1" applyFont="1"/>
    <xf numFmtId="0" fontId="3" fillId="0" borderId="0" xfId="0" applyNumberFormat="1" applyFont="1" applyProtection="1">
      <protection locked="0"/>
    </xf>
    <xf numFmtId="166" fontId="2" fillId="0" borderId="0" xfId="0" applyNumberFormat="1" applyFont="1"/>
    <xf numFmtId="166" fontId="2" fillId="2" borderId="0" xfId="0" applyNumberFormat="1" applyFont="1" applyFill="1"/>
    <xf numFmtId="166" fontId="2" fillId="3" borderId="0" xfId="0" applyNumberFormat="1" applyFont="1" applyFill="1"/>
    <xf numFmtId="164" fontId="3" fillId="0" borderId="0" xfId="0" applyNumberFormat="1" applyFont="1" applyAlignment="1" applyProtection="1">
      <alignment horizontal="right" wrapText="1"/>
    </xf>
    <xf numFmtId="0" fontId="3" fillId="0" borderId="0" xfId="0" applyNumberFormat="1" applyFont="1" applyAlignment="1" applyProtection="1">
      <alignment horizontal="left" wrapText="1"/>
    </xf>
    <xf numFmtId="165" fontId="3" fillId="0" borderId="0" xfId="0" applyNumberFormat="1" applyFont="1" applyAlignment="1" applyProtection="1">
      <alignment horizontal="right" wrapText="1"/>
    </xf>
    <xf numFmtId="166" fontId="3" fillId="0" borderId="0" xfId="0" applyNumberFormat="1" applyFont="1" applyAlignment="1" applyProtection="1">
      <alignment horizontal="center" vertical="top" wrapText="1"/>
    </xf>
    <xf numFmtId="166" fontId="3" fillId="2" borderId="0" xfId="0" applyNumberFormat="1" applyFont="1" applyFill="1" applyAlignment="1" applyProtection="1">
      <alignment horizontal="center" vertical="top" wrapText="1"/>
    </xf>
    <xf numFmtId="166" fontId="3" fillId="3" borderId="0" xfId="0" applyNumberFormat="1" applyFont="1" applyFill="1" applyAlignment="1" applyProtection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</xf>
    <xf numFmtId="164" fontId="3" fillId="0" borderId="0" xfId="0" applyNumberFormat="1" applyFont="1" applyProtection="1"/>
    <xf numFmtId="0" fontId="3" fillId="0" borderId="0" xfId="0" applyNumberFormat="1" applyFont="1" applyProtection="1"/>
    <xf numFmtId="165" fontId="3" fillId="0" borderId="0" xfId="0" applyNumberFormat="1" applyFont="1" applyProtection="1"/>
    <xf numFmtId="166" fontId="3" fillId="0" borderId="0" xfId="0" applyNumberFormat="1" applyFont="1"/>
    <xf numFmtId="166" fontId="3" fillId="2" borderId="0" xfId="0" applyNumberFormat="1" applyFont="1" applyFill="1"/>
    <xf numFmtId="166" fontId="3" fillId="3" borderId="0" xfId="0" applyNumberFormat="1" applyFont="1" applyFill="1"/>
    <xf numFmtId="0" fontId="3" fillId="0" borderId="0" xfId="0" applyNumberFormat="1" applyFont="1"/>
    <xf numFmtId="166" fontId="2" fillId="0" borderId="0" xfId="0" applyNumberFormat="1" applyFont="1" applyProtection="1">
      <protection locked="0"/>
    </xf>
    <xf numFmtId="166" fontId="2" fillId="3" borderId="0" xfId="0" applyNumberFormat="1" applyFont="1" applyFill="1" applyProtection="1">
      <protection locked="0"/>
    </xf>
    <xf numFmtId="0" fontId="2" fillId="0" borderId="0" xfId="0" applyNumberFormat="1" applyFont="1" applyAlignment="1">
      <alignment horizontal="left" wrapText="1"/>
    </xf>
    <xf numFmtId="166" fontId="2" fillId="0" borderId="1" xfId="0" applyNumberFormat="1" applyFont="1" applyBorder="1" applyProtection="1"/>
    <xf numFmtId="166" fontId="2" fillId="2" borderId="1" xfId="0" applyNumberFormat="1" applyFont="1" applyFill="1" applyBorder="1" applyProtection="1"/>
    <xf numFmtId="166" fontId="2" fillId="3" borderId="1" xfId="0" applyNumberFormat="1" applyFont="1" applyFill="1" applyBorder="1" applyProtection="1"/>
    <xf numFmtId="164" fontId="3" fillId="0" borderId="0" xfId="0" applyNumberFormat="1" applyFont="1" applyAlignment="1" applyProtection="1">
      <alignment horizontal="left" wrapText="1"/>
    </xf>
    <xf numFmtId="165" fontId="3" fillId="0" borderId="0" xfId="0" applyNumberFormat="1" applyFont="1" applyAlignment="1" applyProtection="1">
      <alignment horizontal="left" wrapText="1"/>
    </xf>
    <xf numFmtId="166" fontId="3" fillId="0" borderId="0" xfId="0" applyNumberFormat="1" applyFont="1" applyAlignment="1">
      <alignment horizontal="left" wrapText="1"/>
    </xf>
    <xf numFmtId="166" fontId="3" fillId="2" borderId="0" xfId="0" applyNumberFormat="1" applyFont="1" applyFill="1" applyAlignment="1">
      <alignment horizontal="left" wrapText="1"/>
    </xf>
    <xf numFmtId="166" fontId="3" fillId="3" borderId="0" xfId="0" applyNumberFormat="1" applyFont="1" applyFill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168" fontId="0" fillId="0" borderId="0" xfId="0" applyNumberFormat="1" applyProtection="1"/>
    <xf numFmtId="168" fontId="0" fillId="0" borderId="0" xfId="0" applyNumberFormat="1"/>
    <xf numFmtId="168" fontId="1" fillId="0" borderId="0" xfId="0" applyNumberFormat="1" applyFont="1"/>
    <xf numFmtId="0" fontId="1" fillId="0" borderId="0" xfId="0" applyNumberFormat="1" applyFont="1" applyAlignment="1" applyProtection="1">
      <alignment horizontal="center" wrapText="1"/>
    </xf>
    <xf numFmtId="168" fontId="1" fillId="0" borderId="0" xfId="0" applyNumberFormat="1" applyFont="1" applyAlignment="1" applyProtection="1">
      <alignment horizontal="center" wrapText="1"/>
    </xf>
    <xf numFmtId="164" fontId="1" fillId="0" borderId="0" xfId="0" applyNumberFormat="1" applyFont="1" applyAlignment="1" applyProtection="1">
      <alignment horizontal="center" wrapText="1"/>
    </xf>
    <xf numFmtId="164" fontId="1" fillId="0" borderId="2" xfId="0" applyNumberFormat="1" applyFont="1" applyBorder="1" applyProtection="1"/>
    <xf numFmtId="168" fontId="1" fillId="0" borderId="2" xfId="0" applyNumberFormat="1" applyFont="1" applyBorder="1" applyProtection="1"/>
    <xf numFmtId="166" fontId="1" fillId="0" borderId="2" xfId="0" applyNumberFormat="1" applyFont="1" applyBorder="1" applyProtection="1"/>
    <xf numFmtId="165" fontId="1" fillId="0" borderId="0" xfId="0" applyNumberFormat="1" applyFont="1" applyAlignment="1" applyProtection="1">
      <alignment horizontal="center" wrapText="1"/>
    </xf>
    <xf numFmtId="165" fontId="0" fillId="0" borderId="0" xfId="0" applyNumberFormat="1" applyProtection="1">
      <protection locked="0"/>
    </xf>
    <xf numFmtId="0" fontId="4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9" fillId="0" borderId="0" xfId="0" applyFont="1"/>
    <xf numFmtId="0" fontId="10" fillId="0" borderId="0" xfId="0" applyNumberFormat="1" applyFont="1" applyAlignment="1">
      <alignment horizontal="left" wrapText="1"/>
    </xf>
    <xf numFmtId="166" fontId="11" fillId="3" borderId="0" xfId="0" applyNumberFormat="1" applyFont="1" applyFill="1"/>
    <xf numFmtId="0" fontId="13" fillId="0" borderId="0" xfId="0" applyNumberFormat="1" applyFont="1"/>
    <xf numFmtId="0" fontId="8" fillId="0" borderId="0" xfId="0" applyNumberFormat="1" applyFont="1" applyAlignment="1">
      <alignment horizontal="left" wrapText="1"/>
    </xf>
    <xf numFmtId="166" fontId="11" fillId="0" borderId="0" xfId="0" applyNumberFormat="1" applyFont="1" applyProtection="1">
      <protection locked="0"/>
    </xf>
    <xf numFmtId="166" fontId="14" fillId="0" borderId="0" xfId="0" applyNumberFormat="1" applyFont="1" applyProtection="1"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1"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595959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rgbClr val="595959"/>
                </a:solidFill>
                <a:latin typeface="+mn-lt"/>
                <a:ea typeface="+mn-ea"/>
                <a:cs typeface="+mn-cs"/>
              </a:rPr>
              <a:t>2018 Budget Allocations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595959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Info'!$A$1:$A$7</c:f>
              <c:strCache>
                <c:ptCount val="7"/>
                <c:pt idx="0">
                  <c:v>Maintenance &amp; Repair</c:v>
                </c:pt>
                <c:pt idx="1">
                  <c:v>Utilities</c:v>
                </c:pt>
                <c:pt idx="2">
                  <c:v>Association Unit Expense</c:v>
                </c:pt>
                <c:pt idx="3">
                  <c:v>Administrative</c:v>
                </c:pt>
                <c:pt idx="4">
                  <c:v>Management Fees</c:v>
                </c:pt>
                <c:pt idx="5">
                  <c:v>Insurance</c:v>
                </c:pt>
                <c:pt idx="6">
                  <c:v>Reserves</c:v>
                </c:pt>
              </c:strCache>
            </c:strRef>
          </c:cat>
          <c:val>
            <c:numRef>
              <c:f>'Chart Info'!$B$1:$B$7</c:f>
              <c:numCache>
                <c:formatCode>General</c:formatCode>
                <c:ptCount val="7"/>
                <c:pt idx="0">
                  <c:v>128969</c:v>
                </c:pt>
                <c:pt idx="1">
                  <c:v>159497</c:v>
                </c:pt>
                <c:pt idx="2">
                  <c:v>0</c:v>
                </c:pt>
                <c:pt idx="3">
                  <c:v>-12246</c:v>
                </c:pt>
                <c:pt idx="4">
                  <c:v>28191</c:v>
                </c:pt>
                <c:pt idx="5">
                  <c:v>106804</c:v>
                </c:pt>
                <c:pt idx="6">
                  <c:v>-303962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095" cy="6289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2" workbookViewId="0">
      <selection activeCell="E25" sqref="E25"/>
    </sheetView>
  </sheetViews>
  <sheetFormatPr defaultRowHeight="15" x14ac:dyDescent="0.25"/>
  <cols>
    <col min="1" max="1" width="18.42578125" style="4" customWidth="1"/>
    <col min="2" max="2" width="5.28515625" style="4" customWidth="1"/>
    <col min="3" max="3" width="10" style="78" bestFit="1" customWidth="1"/>
    <col min="4" max="4" width="6.140625" style="2" customWidth="1"/>
    <col min="5" max="5" width="12" style="78" bestFit="1" customWidth="1"/>
    <col min="6" max="6" width="8.28515625" style="16" bestFit="1" customWidth="1"/>
    <col min="7" max="7" width="8.5703125" style="16" bestFit="1" customWidth="1"/>
    <col min="8" max="8" width="8.5703125" style="16" customWidth="1"/>
    <col min="9" max="9" width="10" style="16" customWidth="1"/>
    <col min="10" max="10" width="9.85546875" style="16" customWidth="1"/>
    <col min="11" max="11" width="11.7109375" style="16" customWidth="1"/>
    <col min="12" max="12" width="8.7109375" style="4" bestFit="1" customWidth="1"/>
  </cols>
  <sheetData>
    <row r="1" spans="1:12" hidden="1" x14ac:dyDescent="0.25">
      <c r="A1" s="3" t="s">
        <v>136</v>
      </c>
      <c r="B1" s="3" t="s">
        <v>137</v>
      </c>
      <c r="C1" s="77" t="s">
        <v>138</v>
      </c>
      <c r="D1" s="1" t="s">
        <v>139</v>
      </c>
      <c r="E1" s="77" t="s">
        <v>140</v>
      </c>
      <c r="F1" s="15" t="s">
        <v>141</v>
      </c>
      <c r="G1" s="15" t="s">
        <v>142</v>
      </c>
      <c r="H1" s="15"/>
      <c r="I1" s="15"/>
      <c r="J1" s="15" t="s">
        <v>143</v>
      </c>
      <c r="K1" s="15" t="s">
        <v>144</v>
      </c>
      <c r="L1" s="3" t="s">
        <v>145</v>
      </c>
    </row>
    <row r="2" spans="1:12" x14ac:dyDescent="0.25">
      <c r="A2" s="8" t="s">
        <v>7</v>
      </c>
    </row>
    <row r="3" spans="1:12" x14ac:dyDescent="0.25">
      <c r="A3" s="8" t="s">
        <v>146</v>
      </c>
    </row>
    <row r="4" spans="1:12" x14ac:dyDescent="0.25">
      <c r="A4" s="8" t="s">
        <v>147</v>
      </c>
    </row>
    <row r="5" spans="1:12" x14ac:dyDescent="0.25">
      <c r="A5" s="8" t="s">
        <v>148</v>
      </c>
    </row>
    <row r="7" spans="1:12" s="28" customFormat="1" x14ac:dyDescent="0.25">
      <c r="A7" s="8" t="s">
        <v>149</v>
      </c>
      <c r="B7" s="24"/>
      <c r="C7" s="79"/>
      <c r="D7" s="23"/>
      <c r="E7" s="79"/>
      <c r="F7" s="26"/>
      <c r="G7" s="26"/>
      <c r="H7" s="26"/>
      <c r="I7" s="26"/>
      <c r="J7" s="26"/>
      <c r="K7" s="26"/>
      <c r="L7" s="24"/>
    </row>
    <row r="9" spans="1:12" s="28" customFormat="1" ht="45" x14ac:dyDescent="0.25">
      <c r="A9" s="13" t="s">
        <v>150</v>
      </c>
      <c r="B9" s="80" t="s">
        <v>151</v>
      </c>
      <c r="C9" s="81" t="s">
        <v>152</v>
      </c>
      <c r="D9" s="82" t="s">
        <v>153</v>
      </c>
      <c r="E9" s="81" t="s">
        <v>154</v>
      </c>
      <c r="F9" s="19" t="s">
        <v>155</v>
      </c>
      <c r="G9" s="19" t="s">
        <v>156</v>
      </c>
      <c r="H9" s="19" t="s">
        <v>185</v>
      </c>
      <c r="I9" s="19" t="s">
        <v>186</v>
      </c>
      <c r="J9" s="19" t="s">
        <v>157</v>
      </c>
      <c r="K9" s="19" t="s">
        <v>54</v>
      </c>
      <c r="L9" s="13"/>
    </row>
    <row r="11" spans="1:12" x14ac:dyDescent="0.25">
      <c r="A11" s="3" t="s">
        <v>146</v>
      </c>
      <c r="B11" s="3">
        <v>1</v>
      </c>
      <c r="C11" s="77">
        <v>4.0000000000000001E-3</v>
      </c>
      <c r="D11" s="1">
        <v>28</v>
      </c>
      <c r="E11" s="77">
        <f>C11*D11</f>
        <v>0.112</v>
      </c>
      <c r="F11" s="15">
        <v>190</v>
      </c>
      <c r="G11" s="15">
        <f>F11*MNT_NUMPMT</f>
        <v>2280</v>
      </c>
      <c r="H11" s="15">
        <f>SUM('Proposed Budget'!$I$57)/'MNT Proposed Fee Schedule'!$D$15/12</f>
        <v>22.264846743295021</v>
      </c>
      <c r="I11" s="15">
        <f>SUM('Proposed Budget'!$I$9-'Proposed Budget'!$I$57)*'MNT Proposed Fee Schedule'!C11/12</f>
        <v>178.04400000000001</v>
      </c>
      <c r="J11" s="15">
        <f>SUM(H11:I11)</f>
        <v>200.30884674329502</v>
      </c>
      <c r="K11" s="15">
        <f>SUM(J11*D11*12)</f>
        <v>67303.772505747125</v>
      </c>
      <c r="L11" s="3" t="str">
        <f>IF((J11-INT(J11))*100&gt;0,"Would the Board like to Round maintenance fees?","")</f>
        <v>Would the Board like to Round maintenance fees?</v>
      </c>
    </row>
    <row r="12" spans="1:12" x14ac:dyDescent="0.25">
      <c r="A12" s="3" t="s">
        <v>146</v>
      </c>
      <c r="B12" s="3">
        <v>2</v>
      </c>
      <c r="C12" s="77">
        <v>5.8125E-3</v>
      </c>
      <c r="D12" s="1">
        <v>128</v>
      </c>
      <c r="E12" s="77">
        <f>C12*D12</f>
        <v>0.74399999999999999</v>
      </c>
      <c r="F12" s="15">
        <v>265</v>
      </c>
      <c r="G12" s="15">
        <f>F12*MNT_NUMPMT</f>
        <v>3180</v>
      </c>
      <c r="H12" s="15">
        <f>SUM('Proposed Budget'!$I$57)/'MNT Proposed Fee Schedule'!$D$15/12</f>
        <v>22.264846743295021</v>
      </c>
      <c r="I12" s="15">
        <f>SUM('Proposed Budget'!$I$9-'Proposed Budget'!$I$57)*'MNT Proposed Fee Schedule'!C12/12</f>
        <v>258.72018750000001</v>
      </c>
      <c r="J12" s="15">
        <f t="shared" ref="J12:J13" si="0">SUM(H12:I12)</f>
        <v>280.98503424329505</v>
      </c>
      <c r="K12" s="15">
        <f t="shared" ref="K12:K13" si="1">SUM(J12*D12*12)</f>
        <v>431593.01259770116</v>
      </c>
      <c r="L12" s="3" t="str">
        <f>IF((J12-INT(J12))*100&gt;0,"Would the Board like to Round maintenance fees?","")</f>
        <v>Would the Board like to Round maintenance fees?</v>
      </c>
    </row>
    <row r="13" spans="1:12" x14ac:dyDescent="0.25">
      <c r="A13" s="3" t="s">
        <v>146</v>
      </c>
      <c r="B13" s="3">
        <v>3</v>
      </c>
      <c r="C13" s="77">
        <v>8.0000000000000002E-3</v>
      </c>
      <c r="D13" s="1">
        <v>18</v>
      </c>
      <c r="E13" s="77">
        <f>C13*D13</f>
        <v>0.14400000000000002</v>
      </c>
      <c r="F13" s="15">
        <v>359</v>
      </c>
      <c r="G13" s="15">
        <f>F13*MNT_NUMPMT</f>
        <v>4308</v>
      </c>
      <c r="H13" s="15">
        <f>SUM('Proposed Budget'!$I$57)/'MNT Proposed Fee Schedule'!$D$15/12</f>
        <v>22.264846743295021</v>
      </c>
      <c r="I13" s="15">
        <f>SUM('Proposed Budget'!$I$9-'Proposed Budget'!$I$57)*'MNT Proposed Fee Schedule'!C13/12</f>
        <v>356.08800000000002</v>
      </c>
      <c r="J13" s="15">
        <f t="shared" si="0"/>
        <v>378.35284674329506</v>
      </c>
      <c r="K13" s="15">
        <f t="shared" si="1"/>
        <v>81724.214896551741</v>
      </c>
      <c r="L13" s="3" t="str">
        <f>IF((J13-INT(J13))*100&gt;0,"Would the Board like to Round maintenance fees?","")</f>
        <v>Would the Board like to Round maintenance fees?</v>
      </c>
    </row>
    <row r="15" spans="1:12" s="28" customFormat="1" ht="15.75" thickBot="1" x14ac:dyDescent="0.3">
      <c r="A15" s="8" t="s">
        <v>158</v>
      </c>
      <c r="B15" s="24"/>
      <c r="C15" s="79"/>
      <c r="D15" s="83">
        <f>SUM(D11:D14)</f>
        <v>174</v>
      </c>
      <c r="E15" s="84">
        <f>SUM(E11:E14)</f>
        <v>1</v>
      </c>
      <c r="F15" s="26"/>
      <c r="G15" s="26"/>
      <c r="H15" s="26"/>
      <c r="I15" s="26"/>
      <c r="J15" s="26"/>
      <c r="K15" s="85">
        <f>SUM(K11:K14)</f>
        <v>580621</v>
      </c>
      <c r="L15" s="24"/>
    </row>
    <row r="16" spans="1:12" ht="15.75" thickTop="1" x14ac:dyDescent="0.25"/>
    <row r="17" spans="1:12" x14ac:dyDescent="0.25">
      <c r="A17" s="9" t="s">
        <v>159</v>
      </c>
      <c r="D17" s="1">
        <v>12</v>
      </c>
    </row>
    <row r="20" spans="1:12" s="28" customFormat="1" x14ac:dyDescent="0.25">
      <c r="A20" s="8" t="s">
        <v>160</v>
      </c>
      <c r="B20" s="24"/>
      <c r="C20" s="79"/>
      <c r="D20" s="23"/>
      <c r="E20" s="79"/>
      <c r="F20" s="26"/>
      <c r="G20" s="26"/>
      <c r="H20" s="26"/>
      <c r="I20" s="26"/>
      <c r="J20" s="26"/>
      <c r="K20" s="26"/>
      <c r="L20" s="24"/>
    </row>
    <row r="22" spans="1:12" s="28" customFormat="1" ht="45" x14ac:dyDescent="0.25">
      <c r="A22" s="13" t="s">
        <v>150</v>
      </c>
      <c r="B22" s="80" t="s">
        <v>151</v>
      </c>
      <c r="C22" s="81" t="s">
        <v>152</v>
      </c>
      <c r="D22" s="82" t="s">
        <v>153</v>
      </c>
      <c r="E22" s="81" t="s">
        <v>154</v>
      </c>
      <c r="F22" s="19" t="s">
        <v>155</v>
      </c>
      <c r="G22" s="19" t="s">
        <v>156</v>
      </c>
      <c r="H22" s="19" t="s">
        <v>185</v>
      </c>
      <c r="I22" s="19" t="s">
        <v>186</v>
      </c>
      <c r="J22" s="19" t="s">
        <v>157</v>
      </c>
      <c r="K22" s="19" t="s">
        <v>54</v>
      </c>
      <c r="L22" s="13"/>
    </row>
    <row r="24" spans="1:12" x14ac:dyDescent="0.25">
      <c r="A24" s="3" t="s">
        <v>146</v>
      </c>
      <c r="B24" s="3">
        <v>1</v>
      </c>
      <c r="C24" s="77">
        <v>4.0000000000000001E-3</v>
      </c>
      <c r="D24" s="1">
        <v>28</v>
      </c>
      <c r="E24" s="77">
        <f>C24*D24</f>
        <v>0.112</v>
      </c>
      <c r="F24" s="15">
        <v>190</v>
      </c>
      <c r="G24" s="15">
        <f>F24*MNT_NUMPMT</f>
        <v>2280</v>
      </c>
      <c r="H24" s="15">
        <f>SUM('Proposed Budget'!$J$57)/'MNT Proposed Fee Schedule'!$D$15/12</f>
        <v>22.264846743295021</v>
      </c>
      <c r="I24" s="15">
        <f>SUM('Proposed Budget'!$J$9-'Proposed Budget'!$J$57)*'MNT Proposed Fee Schedule'!C24/12</f>
        <v>231.06000000000003</v>
      </c>
      <c r="J24" s="15">
        <f>SUM(H24:I24)</f>
        <v>253.32484674329504</v>
      </c>
      <c r="K24" s="15">
        <f>SUM(J24*D24*12)</f>
        <v>85117.148505747144</v>
      </c>
      <c r="L24" s="3" t="str">
        <f>IF((J24-INT(J24))*100&gt;0,"Would the Board like to Round maintenance fees?","")</f>
        <v>Would the Board like to Round maintenance fees?</v>
      </c>
    </row>
    <row r="25" spans="1:12" x14ac:dyDescent="0.25">
      <c r="A25" s="3" t="s">
        <v>146</v>
      </c>
      <c r="B25" s="3">
        <v>2</v>
      </c>
      <c r="C25" s="77">
        <v>5.8125E-3</v>
      </c>
      <c r="D25" s="1">
        <v>128</v>
      </c>
      <c r="E25" s="77">
        <f>C25*D25</f>
        <v>0.74399999999999999</v>
      </c>
      <c r="F25" s="15">
        <v>265</v>
      </c>
      <c r="G25" s="15">
        <f>F25*MNT_NUMPMT</f>
        <v>3180</v>
      </c>
      <c r="H25" s="15">
        <f>SUM('Proposed Budget'!$J$57)/'MNT Proposed Fee Schedule'!$D$15/12</f>
        <v>22.264846743295021</v>
      </c>
      <c r="I25" s="15">
        <f>SUM('Proposed Budget'!$J$9-'Proposed Budget'!$J$57)*'MNT Proposed Fee Schedule'!C25/12</f>
        <v>335.75906249999997</v>
      </c>
      <c r="J25" s="15">
        <f t="shared" ref="J25:J26" si="2">SUM(H25:I25)</f>
        <v>358.02390924329501</v>
      </c>
      <c r="K25" s="15">
        <f t="shared" ref="K25:K26" si="3">SUM(J25*D25*12)</f>
        <v>549924.7245977011</v>
      </c>
      <c r="L25" s="3" t="str">
        <f>IF((J25-INT(J25))*100&gt;0,"Would the Board like to Round maintenance fees?","")</f>
        <v>Would the Board like to Round maintenance fees?</v>
      </c>
    </row>
    <row r="26" spans="1:12" x14ac:dyDescent="0.25">
      <c r="A26" s="3" t="s">
        <v>146</v>
      </c>
      <c r="B26" s="3">
        <v>3</v>
      </c>
      <c r="C26" s="77">
        <v>8.0000000000000002E-3</v>
      </c>
      <c r="D26" s="1">
        <v>18</v>
      </c>
      <c r="E26" s="77">
        <f>C26*D26</f>
        <v>0.14400000000000002</v>
      </c>
      <c r="F26" s="15">
        <v>359</v>
      </c>
      <c r="G26" s="15">
        <f>F26*MNT_NUMPMT</f>
        <v>4308</v>
      </c>
      <c r="H26" s="15">
        <f>SUM('Proposed Budget'!$J$57)/'MNT Proposed Fee Schedule'!$D$15/12</f>
        <v>22.264846743295021</v>
      </c>
      <c r="I26" s="15">
        <f>SUM('Proposed Budget'!$J$9-'Proposed Budget'!$J$57)*'MNT Proposed Fee Schedule'!C26/12</f>
        <v>462.12000000000006</v>
      </c>
      <c r="J26" s="15">
        <f t="shared" si="2"/>
        <v>484.3848467432951</v>
      </c>
      <c r="K26" s="15">
        <f t="shared" si="3"/>
        <v>104627.12689655174</v>
      </c>
      <c r="L26" s="3" t="str">
        <f>IF((J26-INT(J26))*100&gt;0,"Would the Board like to Round maintenance fees?","")</f>
        <v>Would the Board like to Round maintenance fees?</v>
      </c>
    </row>
    <row r="28" spans="1:12" s="28" customFormat="1" ht="15.75" thickBot="1" x14ac:dyDescent="0.3">
      <c r="A28" s="8" t="s">
        <v>158</v>
      </c>
      <c r="B28" s="24"/>
      <c r="C28" s="79"/>
      <c r="D28" s="83">
        <f>SUM(D24:D27)</f>
        <v>174</v>
      </c>
      <c r="E28" s="84">
        <f>SUM(E24:E27)</f>
        <v>1</v>
      </c>
      <c r="F28" s="26"/>
      <c r="G28" s="26"/>
      <c r="H28" s="26"/>
      <c r="I28" s="26"/>
      <c r="J28" s="26"/>
      <c r="K28" s="85">
        <f>SUM(K24:K27)</f>
        <v>739668.99999999988</v>
      </c>
      <c r="L28" s="24"/>
    </row>
    <row r="29" spans="1:12" ht="15.75" thickTop="1" x14ac:dyDescent="0.25"/>
    <row r="30" spans="1:12" x14ac:dyDescent="0.25">
      <c r="A30" s="9" t="s">
        <v>159</v>
      </c>
      <c r="D30" s="1">
        <v>12</v>
      </c>
    </row>
  </sheetData>
  <pageMargins left="0.7" right="0.7" top="0.75" bottom="0.75" header="0.3" footer="0.3"/>
  <pageSetup scale="58" orientation="portrait" r:id="rId1"/>
  <headerFooter>
    <oddHeader>&amp;L&amp;F&amp;R&amp;D &amp;T 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C2" workbookViewId="0">
      <selection activeCell="O8" sqref="O8"/>
    </sheetView>
  </sheetViews>
  <sheetFormatPr defaultRowHeight="15" x14ac:dyDescent="0.25"/>
  <cols>
    <col min="1" max="2" width="0" style="2" hidden="1" customWidth="1"/>
    <col min="3" max="3" width="31.140625" style="4" customWidth="1"/>
    <col min="4" max="4" width="12.42578125" style="16" bestFit="1" customWidth="1"/>
    <col min="5" max="5" width="12.5703125" style="16" customWidth="1"/>
    <col min="6" max="6" width="10.7109375" style="16" customWidth="1"/>
    <col min="7" max="7" width="11.140625" style="16" customWidth="1"/>
    <col min="8" max="8" width="14.140625" style="16" customWidth="1"/>
    <col min="9" max="9" width="6" style="7" customWidth="1"/>
    <col min="10" max="10" width="6.140625" style="7" customWidth="1"/>
    <col min="11" max="11" width="12" style="16" customWidth="1"/>
    <col min="12" max="12" width="12.5703125" style="16" customWidth="1"/>
  </cols>
  <sheetData>
    <row r="1" spans="1:13" hidden="1" x14ac:dyDescent="0.25">
      <c r="A1" s="1" t="s">
        <v>0</v>
      </c>
      <c r="B1" s="1" t="s">
        <v>1</v>
      </c>
      <c r="C1" s="3" t="s">
        <v>5</v>
      </c>
      <c r="D1" s="15" t="s">
        <v>161</v>
      </c>
      <c r="E1" s="15" t="s">
        <v>162</v>
      </c>
      <c r="F1" s="15" t="s">
        <v>163</v>
      </c>
      <c r="G1" s="15" t="s">
        <v>164</v>
      </c>
      <c r="H1" s="15" t="s">
        <v>165</v>
      </c>
      <c r="I1" s="6" t="s">
        <v>166</v>
      </c>
      <c r="J1" s="6" t="s">
        <v>167</v>
      </c>
      <c r="K1" s="15" t="s">
        <v>168</v>
      </c>
      <c r="L1" s="15" t="s">
        <v>169</v>
      </c>
    </row>
    <row r="2" spans="1:13" x14ac:dyDescent="0.25">
      <c r="C2" s="8" t="s">
        <v>7</v>
      </c>
    </row>
    <row r="3" spans="1:13" x14ac:dyDescent="0.25">
      <c r="C3" s="8"/>
    </row>
    <row r="4" spans="1:13" x14ac:dyDescent="0.25">
      <c r="C4" s="8" t="s">
        <v>170</v>
      </c>
    </row>
    <row r="5" spans="1:13" x14ac:dyDescent="0.25">
      <c r="C5" s="8" t="s">
        <v>171</v>
      </c>
    </row>
    <row r="7" spans="1:13" s="28" customFormat="1" ht="60" x14ac:dyDescent="0.25">
      <c r="A7" s="12" t="s">
        <v>10</v>
      </c>
      <c r="B7" s="12" t="s">
        <v>11</v>
      </c>
      <c r="C7" s="13" t="s">
        <v>172</v>
      </c>
      <c r="D7" s="19" t="s">
        <v>173</v>
      </c>
      <c r="E7" s="19" t="s">
        <v>174</v>
      </c>
      <c r="F7" s="19" t="s">
        <v>175</v>
      </c>
      <c r="G7" s="19" t="s">
        <v>176</v>
      </c>
      <c r="H7" s="19" t="s">
        <v>177</v>
      </c>
      <c r="I7" s="86" t="s">
        <v>178</v>
      </c>
      <c r="J7" s="86" t="s">
        <v>179</v>
      </c>
      <c r="K7" s="19" t="s">
        <v>180</v>
      </c>
      <c r="L7" s="19" t="s">
        <v>181</v>
      </c>
    </row>
    <row r="8" spans="1:13" x14ac:dyDescent="0.25">
      <c r="M8" s="90"/>
    </row>
    <row r="9" spans="1:13" x14ac:dyDescent="0.25">
      <c r="A9" s="1">
        <v>9010</v>
      </c>
      <c r="B9" s="1">
        <v>0</v>
      </c>
      <c r="C9" s="3" t="s">
        <v>107</v>
      </c>
      <c r="D9" s="34">
        <v>185709</v>
      </c>
      <c r="E9" s="15">
        <v>81915.679999999993</v>
      </c>
      <c r="F9" s="34"/>
      <c r="G9" s="15">
        <f t="shared" ref="G9:G25" si="0">E9-F9</f>
        <v>81915.679999999993</v>
      </c>
      <c r="H9" s="15">
        <f t="shared" ref="H9:H25" si="1">D9-G9</f>
        <v>103793.32</v>
      </c>
      <c r="I9" s="87">
        <v>11</v>
      </c>
      <c r="J9" s="87">
        <v>7</v>
      </c>
      <c r="K9" s="15">
        <f t="shared" ref="K9:K25" si="2">ROUND(IF(J9&lt;&gt;0,(D9-G9)/J9,0),0)</f>
        <v>14828</v>
      </c>
      <c r="L9" s="96">
        <v>15000</v>
      </c>
    </row>
    <row r="10" spans="1:13" x14ac:dyDescent="0.25">
      <c r="A10" s="1">
        <v>9020</v>
      </c>
      <c r="B10" s="1">
        <v>0</v>
      </c>
      <c r="C10" s="3" t="s">
        <v>108</v>
      </c>
      <c r="D10" s="34">
        <v>2121800</v>
      </c>
      <c r="E10" s="15">
        <v>287714.2</v>
      </c>
      <c r="F10" s="34"/>
      <c r="G10" s="15">
        <f t="shared" si="0"/>
        <v>287714.2</v>
      </c>
      <c r="H10" s="15">
        <f t="shared" si="1"/>
        <v>1834085.8</v>
      </c>
      <c r="I10" s="87">
        <v>35</v>
      </c>
      <c r="J10" s="87">
        <v>13</v>
      </c>
      <c r="K10" s="15">
        <f t="shared" si="2"/>
        <v>141084</v>
      </c>
      <c r="L10" s="96">
        <v>65000</v>
      </c>
    </row>
    <row r="11" spans="1:13" x14ac:dyDescent="0.25">
      <c r="A11" s="1">
        <v>9030</v>
      </c>
      <c r="B11" s="1">
        <v>0</v>
      </c>
      <c r="C11" s="3" t="s">
        <v>109</v>
      </c>
      <c r="D11" s="34">
        <v>79567</v>
      </c>
      <c r="E11" s="15">
        <v>19337.95</v>
      </c>
      <c r="F11" s="34"/>
      <c r="G11" s="15">
        <f t="shared" si="0"/>
        <v>19337.95</v>
      </c>
      <c r="H11" s="15">
        <f t="shared" si="1"/>
        <v>60229.05</v>
      </c>
      <c r="I11" s="87">
        <v>15</v>
      </c>
      <c r="J11" s="87">
        <v>12</v>
      </c>
      <c r="K11" s="15">
        <f t="shared" si="2"/>
        <v>5019</v>
      </c>
      <c r="L11" s="96">
        <v>3000</v>
      </c>
    </row>
    <row r="12" spans="1:13" x14ac:dyDescent="0.25">
      <c r="A12" s="1">
        <v>9040</v>
      </c>
      <c r="B12" s="1">
        <v>0</v>
      </c>
      <c r="C12" s="3" t="s">
        <v>110</v>
      </c>
      <c r="D12" s="34">
        <v>32782</v>
      </c>
      <c r="E12" s="15">
        <v>1358.85</v>
      </c>
      <c r="F12" s="34"/>
      <c r="G12" s="15">
        <f t="shared" si="0"/>
        <v>1358.85</v>
      </c>
      <c r="H12" s="15">
        <f t="shared" si="1"/>
        <v>31423.15</v>
      </c>
      <c r="I12" s="87">
        <v>14</v>
      </c>
      <c r="J12" s="87">
        <v>11</v>
      </c>
      <c r="K12" s="15">
        <f t="shared" si="2"/>
        <v>2857</v>
      </c>
      <c r="L12" s="96">
        <v>1500</v>
      </c>
    </row>
    <row r="13" spans="1:13" x14ac:dyDescent="0.25">
      <c r="A13" s="1">
        <v>9045</v>
      </c>
      <c r="B13" s="1">
        <v>0</v>
      </c>
      <c r="C13" s="3" t="s">
        <v>111</v>
      </c>
      <c r="D13" s="34">
        <v>53045</v>
      </c>
      <c r="E13" s="15">
        <v>7554.07</v>
      </c>
      <c r="F13" s="34"/>
      <c r="G13" s="15">
        <f t="shared" si="0"/>
        <v>7554.07</v>
      </c>
      <c r="H13" s="15">
        <f t="shared" si="1"/>
        <v>45490.93</v>
      </c>
      <c r="I13" s="87">
        <v>10</v>
      </c>
      <c r="J13" s="87">
        <v>6</v>
      </c>
      <c r="K13" s="15">
        <f t="shared" si="2"/>
        <v>7582</v>
      </c>
      <c r="L13" s="96">
        <v>5000</v>
      </c>
    </row>
    <row r="14" spans="1:13" x14ac:dyDescent="0.25">
      <c r="A14" s="1">
        <v>9050</v>
      </c>
      <c r="B14" s="1">
        <v>0</v>
      </c>
      <c r="C14" s="3" t="s">
        <v>112</v>
      </c>
      <c r="D14" s="34">
        <v>90176</v>
      </c>
      <c r="E14" s="15">
        <v>1206.74</v>
      </c>
      <c r="F14" s="34"/>
      <c r="G14" s="15">
        <f t="shared" si="0"/>
        <v>1206.74</v>
      </c>
      <c r="H14" s="15">
        <f t="shared" si="1"/>
        <v>88969.26</v>
      </c>
      <c r="I14" s="87">
        <v>38</v>
      </c>
      <c r="J14" s="87">
        <v>5</v>
      </c>
      <c r="K14" s="15">
        <f t="shared" si="2"/>
        <v>17794</v>
      </c>
      <c r="L14" s="96">
        <v>1000</v>
      </c>
    </row>
    <row r="15" spans="1:13" x14ac:dyDescent="0.25">
      <c r="A15" s="1">
        <v>9051</v>
      </c>
      <c r="B15" s="1">
        <v>0</v>
      </c>
      <c r="C15" s="3" t="s">
        <v>113</v>
      </c>
      <c r="D15" s="34">
        <v>28139</v>
      </c>
      <c r="E15" s="15">
        <v>3011.41</v>
      </c>
      <c r="F15" s="34"/>
      <c r="G15" s="15">
        <f t="shared" si="0"/>
        <v>3011.41</v>
      </c>
      <c r="H15" s="15">
        <f t="shared" si="1"/>
        <v>25127.59</v>
      </c>
      <c r="I15" s="87">
        <v>37</v>
      </c>
      <c r="J15" s="87">
        <v>11</v>
      </c>
      <c r="K15" s="15">
        <f t="shared" si="2"/>
        <v>2284</v>
      </c>
      <c r="L15" s="96">
        <v>1000</v>
      </c>
    </row>
    <row r="16" spans="1:13" x14ac:dyDescent="0.25">
      <c r="A16" s="1">
        <v>9052</v>
      </c>
      <c r="B16" s="1">
        <v>0</v>
      </c>
      <c r="C16" s="3" t="s">
        <v>114</v>
      </c>
      <c r="D16" s="34">
        <v>212817</v>
      </c>
      <c r="E16" s="15">
        <v>7653.28</v>
      </c>
      <c r="F16" s="34"/>
      <c r="G16" s="15">
        <f t="shared" si="0"/>
        <v>7653.28</v>
      </c>
      <c r="H16" s="15">
        <f t="shared" si="1"/>
        <v>205163.72</v>
      </c>
      <c r="I16" s="87">
        <v>30</v>
      </c>
      <c r="J16" s="87">
        <v>28</v>
      </c>
      <c r="K16" s="15">
        <f t="shared" si="2"/>
        <v>7327</v>
      </c>
      <c r="L16" s="96">
        <v>718</v>
      </c>
    </row>
    <row r="17" spans="1:12" x14ac:dyDescent="0.25">
      <c r="A17" s="1">
        <v>9056</v>
      </c>
      <c r="B17" s="1">
        <v>0</v>
      </c>
      <c r="C17" s="3" t="s">
        <v>115</v>
      </c>
      <c r="D17" s="34">
        <v>68958</v>
      </c>
      <c r="E17" s="15">
        <v>3639.4</v>
      </c>
      <c r="F17" s="34"/>
      <c r="G17" s="15">
        <f t="shared" si="0"/>
        <v>3639.4</v>
      </c>
      <c r="H17" s="15">
        <f t="shared" si="1"/>
        <v>65318.6</v>
      </c>
      <c r="I17" s="87">
        <v>38</v>
      </c>
      <c r="J17" s="87">
        <v>6</v>
      </c>
      <c r="K17" s="15">
        <f t="shared" si="2"/>
        <v>10886</v>
      </c>
      <c r="L17" s="96">
        <v>2500</v>
      </c>
    </row>
    <row r="18" spans="1:12" x14ac:dyDescent="0.25">
      <c r="A18" s="1">
        <v>9058</v>
      </c>
      <c r="B18" s="1">
        <v>0</v>
      </c>
      <c r="C18" s="3" t="s">
        <v>116</v>
      </c>
      <c r="D18" s="34">
        <v>0</v>
      </c>
      <c r="E18" s="15">
        <v>0</v>
      </c>
      <c r="F18" s="34"/>
      <c r="G18" s="15">
        <f t="shared" si="0"/>
        <v>0</v>
      </c>
      <c r="H18" s="15">
        <f t="shared" si="1"/>
        <v>0</v>
      </c>
      <c r="I18" s="87">
        <v>0</v>
      </c>
      <c r="J18" s="87">
        <v>0</v>
      </c>
      <c r="K18" s="15">
        <f t="shared" si="2"/>
        <v>0</v>
      </c>
      <c r="L18" s="96">
        <v>0</v>
      </c>
    </row>
    <row r="19" spans="1:12" x14ac:dyDescent="0.25">
      <c r="A19" s="1">
        <v>9064</v>
      </c>
      <c r="B19" s="1">
        <v>0</v>
      </c>
      <c r="C19" s="3" t="s">
        <v>117</v>
      </c>
      <c r="D19" s="34">
        <v>100785</v>
      </c>
      <c r="E19" s="15">
        <v>32176.880000000001</v>
      </c>
      <c r="F19" s="34"/>
      <c r="G19" s="15">
        <f t="shared" si="0"/>
        <v>32176.880000000001</v>
      </c>
      <c r="H19" s="15">
        <f t="shared" si="1"/>
        <v>68608.12</v>
      </c>
      <c r="I19" s="87">
        <v>20</v>
      </c>
      <c r="J19" s="87">
        <v>7</v>
      </c>
      <c r="K19" s="15">
        <f t="shared" si="2"/>
        <v>9801</v>
      </c>
      <c r="L19" s="96">
        <v>2000</v>
      </c>
    </row>
    <row r="20" spans="1:12" x14ac:dyDescent="0.25">
      <c r="A20" s="1">
        <v>9073</v>
      </c>
      <c r="B20" s="1">
        <v>0</v>
      </c>
      <c r="C20" s="3" t="s">
        <v>118</v>
      </c>
      <c r="D20" s="34">
        <v>57966</v>
      </c>
      <c r="E20" s="15">
        <v>5088.49</v>
      </c>
      <c r="F20" s="34"/>
      <c r="G20" s="15">
        <f t="shared" si="0"/>
        <v>5088.49</v>
      </c>
      <c r="H20" s="15">
        <f t="shared" si="1"/>
        <v>52877.51</v>
      </c>
      <c r="I20" s="87">
        <v>17</v>
      </c>
      <c r="J20" s="87">
        <v>10</v>
      </c>
      <c r="K20" s="15">
        <f t="shared" si="2"/>
        <v>5288</v>
      </c>
      <c r="L20" s="96">
        <v>1000</v>
      </c>
    </row>
    <row r="21" spans="1:12" x14ac:dyDescent="0.25">
      <c r="A21" s="1">
        <v>9074</v>
      </c>
      <c r="B21" s="1">
        <v>0</v>
      </c>
      <c r="C21" s="3" t="s">
        <v>119</v>
      </c>
      <c r="D21" s="34">
        <v>61903</v>
      </c>
      <c r="E21" s="15">
        <v>15024.79</v>
      </c>
      <c r="F21" s="34"/>
      <c r="G21" s="15">
        <f t="shared" si="0"/>
        <v>15024.79</v>
      </c>
      <c r="H21" s="15">
        <f t="shared" si="1"/>
        <v>46878.21</v>
      </c>
      <c r="I21" s="87">
        <v>15</v>
      </c>
      <c r="J21" s="87">
        <v>8</v>
      </c>
      <c r="K21" s="15">
        <f t="shared" si="2"/>
        <v>5860</v>
      </c>
      <c r="L21" s="96">
        <v>8500</v>
      </c>
    </row>
    <row r="22" spans="1:12" x14ac:dyDescent="0.25">
      <c r="A22" s="1">
        <v>9075</v>
      </c>
      <c r="B22" s="1">
        <v>0</v>
      </c>
      <c r="C22" s="3" t="s">
        <v>120</v>
      </c>
      <c r="D22" s="34">
        <v>116804</v>
      </c>
      <c r="E22" s="15">
        <v>10000</v>
      </c>
      <c r="F22" s="34"/>
      <c r="G22" s="15">
        <f t="shared" si="0"/>
        <v>10000</v>
      </c>
      <c r="H22" s="15">
        <f t="shared" si="1"/>
        <v>106804</v>
      </c>
      <c r="I22" s="87">
        <v>1</v>
      </c>
      <c r="J22" s="87">
        <v>1</v>
      </c>
      <c r="K22" s="15">
        <f t="shared" si="2"/>
        <v>106804</v>
      </c>
      <c r="L22" s="96">
        <v>100000</v>
      </c>
    </row>
    <row r="23" spans="1:12" x14ac:dyDescent="0.25">
      <c r="A23" s="1">
        <v>9078</v>
      </c>
      <c r="B23" s="1">
        <v>0</v>
      </c>
      <c r="C23" s="3" t="s">
        <v>121</v>
      </c>
      <c r="D23" s="34">
        <v>106090</v>
      </c>
      <c r="E23" s="15">
        <v>35198.18</v>
      </c>
      <c r="F23" s="34"/>
      <c r="G23" s="15">
        <f t="shared" si="0"/>
        <v>35198.18</v>
      </c>
      <c r="H23" s="15">
        <f t="shared" si="1"/>
        <v>70891.820000000007</v>
      </c>
      <c r="I23" s="87">
        <v>10</v>
      </c>
      <c r="J23" s="87">
        <v>3</v>
      </c>
      <c r="K23" s="15">
        <f t="shared" si="2"/>
        <v>23631</v>
      </c>
      <c r="L23" s="96">
        <v>500</v>
      </c>
    </row>
    <row r="24" spans="1:12" x14ac:dyDescent="0.25">
      <c r="A24" s="1">
        <v>9090</v>
      </c>
      <c r="B24" s="1">
        <v>0</v>
      </c>
      <c r="C24" s="3" t="s">
        <v>122</v>
      </c>
      <c r="D24" s="34">
        <v>65084</v>
      </c>
      <c r="E24" s="15">
        <v>58419.93</v>
      </c>
      <c r="F24" s="34">
        <v>43057</v>
      </c>
      <c r="G24" s="15">
        <f t="shared" si="0"/>
        <v>15362.93</v>
      </c>
      <c r="H24" s="15">
        <f t="shared" si="1"/>
        <v>49721.07</v>
      </c>
      <c r="I24" s="87">
        <v>1</v>
      </c>
      <c r="J24" s="87">
        <v>1</v>
      </c>
      <c r="K24" s="15">
        <f t="shared" si="2"/>
        <v>49721</v>
      </c>
      <c r="L24" s="96">
        <v>45000</v>
      </c>
    </row>
    <row r="25" spans="1:12" x14ac:dyDescent="0.25">
      <c r="A25" s="1">
        <v>9095</v>
      </c>
      <c r="B25" s="1">
        <v>0</v>
      </c>
      <c r="C25" s="3" t="s">
        <v>123</v>
      </c>
      <c r="D25" s="34"/>
      <c r="E25" s="15">
        <v>8386.98</v>
      </c>
      <c r="F25" s="34">
        <v>8386.98</v>
      </c>
      <c r="G25" s="15">
        <f t="shared" si="0"/>
        <v>0</v>
      </c>
      <c r="H25" s="15">
        <f t="shared" si="1"/>
        <v>0</v>
      </c>
      <c r="I25" s="87"/>
      <c r="J25" s="87"/>
      <c r="K25" s="15">
        <f t="shared" si="2"/>
        <v>0</v>
      </c>
      <c r="L25" s="96">
        <v>0</v>
      </c>
    </row>
    <row r="26" spans="1:12" s="28" customFormat="1" ht="15.75" thickBot="1" x14ac:dyDescent="0.3">
      <c r="A26" s="23"/>
      <c r="B26" s="23"/>
      <c r="C26" s="8" t="s">
        <v>158</v>
      </c>
      <c r="D26" s="26"/>
      <c r="E26" s="26"/>
      <c r="F26" s="26"/>
      <c r="G26" s="26"/>
      <c r="H26" s="26"/>
      <c r="I26" s="25"/>
      <c r="J26" s="25"/>
      <c r="K26" s="85">
        <f>SUM(K9:K25)</f>
        <v>410766</v>
      </c>
      <c r="L26" s="85">
        <f>SUM(L9:L25)</f>
        <v>251718</v>
      </c>
    </row>
    <row r="27" spans="1:12" ht="15.75" thickTop="1" x14ac:dyDescent="0.25"/>
    <row r="28" spans="1:12" ht="86.45" customHeight="1" x14ac:dyDescent="0.25">
      <c r="C28" s="97" t="s">
        <v>182</v>
      </c>
      <c r="D28" s="97"/>
      <c r="E28" s="97"/>
      <c r="F28" s="97"/>
      <c r="G28" s="97"/>
    </row>
    <row r="30" spans="1:12" ht="72" customHeight="1" x14ac:dyDescent="0.25">
      <c r="C30" s="97" t="s">
        <v>183</v>
      </c>
      <c r="D30" s="97"/>
      <c r="E30" s="97"/>
      <c r="F30" s="97"/>
      <c r="G30" s="97"/>
    </row>
    <row r="32" spans="1:12" ht="57.6" customHeight="1" x14ac:dyDescent="0.25"/>
    <row r="34" spans="3:7" ht="28.9" customHeight="1" x14ac:dyDescent="0.25">
      <c r="C34" s="97" t="s">
        <v>184</v>
      </c>
      <c r="D34" s="97"/>
      <c r="E34" s="97"/>
      <c r="F34" s="97"/>
      <c r="G34" s="97"/>
    </row>
    <row r="35" spans="3:7" ht="28.9" customHeight="1" x14ac:dyDescent="0.25">
      <c r="C35" s="97"/>
      <c r="D35" s="97"/>
      <c r="E35" s="97"/>
      <c r="F35" s="97"/>
      <c r="G35" s="97"/>
    </row>
  </sheetData>
  <mergeCells count="4">
    <mergeCell ref="C28:G28"/>
    <mergeCell ref="C30:G30"/>
    <mergeCell ref="C34:G34"/>
    <mergeCell ref="C35:G35"/>
  </mergeCells>
  <pageMargins left="0.7" right="0.7" top="0.75" bottom="0.75" header="0.3" footer="0.3"/>
  <pageSetup scale="51" orientation="portrait" r:id="rId1"/>
  <headerFooter>
    <oddHeader>&amp;L&amp;F&amp;R&amp;D &amp;T 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2"/>
  <sheetViews>
    <sheetView tabSelected="1" topLeftCell="F2" workbookViewId="0">
      <pane xSplit="1" ySplit="4" topLeftCell="H34" activePane="bottomRight" state="frozen"/>
      <selection activeCell="F2" sqref="F2"/>
      <selection pane="topRight" activeCell="G2" sqref="G2"/>
      <selection pane="bottomLeft" activeCell="F6" sqref="F6"/>
      <selection pane="bottomRight" activeCell="V65" sqref="V65"/>
    </sheetView>
  </sheetViews>
  <sheetFormatPr defaultRowHeight="15" x14ac:dyDescent="0.25"/>
  <cols>
    <col min="1" max="3" width="0" style="2" hidden="1" customWidth="1"/>
    <col min="4" max="4" width="0" style="4" hidden="1" customWidth="1"/>
    <col min="5" max="5" width="0" style="7" hidden="1" customWidth="1"/>
    <col min="6" max="6" width="31.5703125" style="4" bestFit="1" customWidth="1"/>
    <col min="7" max="9" width="9.5703125" style="16" bestFit="1" customWidth="1"/>
    <col min="10" max="10" width="10.140625" style="16" bestFit="1" customWidth="1"/>
    <col min="11" max="18" width="9.5703125" style="16" bestFit="1" customWidth="1"/>
    <col min="19" max="19" width="10.5703125" style="16" bestFit="1" customWidth="1"/>
    <col min="20" max="20" width="10.5703125" style="21" bestFit="1" customWidth="1"/>
    <col min="21" max="21" width="10.140625" style="22" customWidth="1"/>
    <col min="22" max="22" width="50.7109375" style="4" customWidth="1"/>
  </cols>
  <sheetData>
    <row r="1" spans="1:22" hidden="1" x14ac:dyDescent="0.25">
      <c r="A1" s="38" t="s">
        <v>0</v>
      </c>
      <c r="B1" s="38" t="s">
        <v>1</v>
      </c>
      <c r="C1" s="38" t="s">
        <v>2</v>
      </c>
      <c r="D1" s="39" t="s">
        <v>3</v>
      </c>
      <c r="E1" s="40" t="s">
        <v>4</v>
      </c>
      <c r="F1" s="39" t="s">
        <v>5</v>
      </c>
      <c r="G1" s="41" t="s">
        <v>27</v>
      </c>
      <c r="H1" s="41" t="s">
        <v>28</v>
      </c>
      <c r="I1" s="41" t="s">
        <v>29</v>
      </c>
      <c r="J1" s="41" t="s">
        <v>30</v>
      </c>
      <c r="K1" s="41" t="s">
        <v>31</v>
      </c>
      <c r="L1" s="41" t="s">
        <v>32</v>
      </c>
      <c r="M1" s="41" t="s">
        <v>33</v>
      </c>
      <c r="N1" s="41" t="s">
        <v>34</v>
      </c>
      <c r="O1" s="41" t="s">
        <v>35</v>
      </c>
      <c r="P1" s="41" t="s">
        <v>36</v>
      </c>
      <c r="Q1" s="41" t="s">
        <v>37</v>
      </c>
      <c r="R1" s="41" t="s">
        <v>38</v>
      </c>
      <c r="S1" s="41" t="s">
        <v>16</v>
      </c>
      <c r="T1" s="42" t="s">
        <v>15</v>
      </c>
      <c r="U1" s="43" t="s">
        <v>18</v>
      </c>
      <c r="V1" s="39" t="s">
        <v>39</v>
      </c>
    </row>
    <row r="2" spans="1:22" x14ac:dyDescent="0.25">
      <c r="A2" s="44"/>
      <c r="B2" s="44"/>
      <c r="C2" s="44"/>
      <c r="D2" s="45"/>
      <c r="E2" s="46"/>
      <c r="F2" s="47" t="s">
        <v>7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50"/>
      <c r="V2" s="45"/>
    </row>
    <row r="3" spans="1:22" x14ac:dyDescent="0.25">
      <c r="A3" s="44"/>
      <c r="B3" s="44"/>
      <c r="C3" s="44"/>
      <c r="D3" s="45"/>
      <c r="E3" s="46"/>
      <c r="F3" s="47" t="s">
        <v>206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  <c r="U3" s="50"/>
      <c r="V3" s="45"/>
    </row>
    <row r="4" spans="1:22" x14ac:dyDescent="0.25">
      <c r="A4" s="44"/>
      <c r="B4" s="44"/>
      <c r="C4" s="44"/>
      <c r="D4" s="45"/>
      <c r="E4" s="46"/>
      <c r="F4" s="47" t="s">
        <v>40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50"/>
      <c r="V4" s="45"/>
    </row>
    <row r="5" spans="1:22" ht="36" x14ac:dyDescent="0.25">
      <c r="A5" s="51" t="s">
        <v>10</v>
      </c>
      <c r="B5" s="51" t="s">
        <v>11</v>
      </c>
      <c r="C5" s="51" t="s">
        <v>12</v>
      </c>
      <c r="D5" s="52" t="s">
        <v>13</v>
      </c>
      <c r="E5" s="53" t="s">
        <v>14</v>
      </c>
      <c r="F5" s="52"/>
      <c r="G5" s="54" t="s">
        <v>41</v>
      </c>
      <c r="H5" s="54" t="s">
        <v>42</v>
      </c>
      <c r="I5" s="54" t="s">
        <v>43</v>
      </c>
      <c r="J5" s="54" t="s">
        <v>44</v>
      </c>
      <c r="K5" s="54" t="s">
        <v>45</v>
      </c>
      <c r="L5" s="54" t="s">
        <v>46</v>
      </c>
      <c r="M5" s="54" t="s">
        <v>47</v>
      </c>
      <c r="N5" s="54" t="s">
        <v>48</v>
      </c>
      <c r="O5" s="54" t="s">
        <v>49</v>
      </c>
      <c r="P5" s="54" t="s">
        <v>50</v>
      </c>
      <c r="Q5" s="54" t="s">
        <v>51</v>
      </c>
      <c r="R5" s="54" t="s">
        <v>52</v>
      </c>
      <c r="S5" s="54" t="s">
        <v>53</v>
      </c>
      <c r="T5" s="55" t="s">
        <v>22</v>
      </c>
      <c r="U5" s="56" t="s">
        <v>54</v>
      </c>
      <c r="V5" s="57" t="s">
        <v>6</v>
      </c>
    </row>
    <row r="6" spans="1:22" x14ac:dyDescent="0.25">
      <c r="A6" s="44"/>
      <c r="B6" s="44"/>
      <c r="C6" s="44"/>
      <c r="D6" s="45"/>
      <c r="E6" s="46"/>
      <c r="F6" s="45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50"/>
      <c r="V6" s="45"/>
    </row>
    <row r="7" spans="1:22" x14ac:dyDescent="0.25">
      <c r="A7" s="44"/>
      <c r="B7" s="44"/>
      <c r="C7" s="44"/>
      <c r="D7" s="45"/>
      <c r="E7" s="46"/>
      <c r="F7" s="45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U7" s="50"/>
      <c r="V7" s="45"/>
    </row>
    <row r="8" spans="1:22" s="28" customFormat="1" x14ac:dyDescent="0.25">
      <c r="A8" s="58">
        <v>1000</v>
      </c>
      <c r="B8" s="58">
        <v>0</v>
      </c>
      <c r="C8" s="58">
        <v>0</v>
      </c>
      <c r="D8" s="59" t="s">
        <v>55</v>
      </c>
      <c r="E8" s="60">
        <v>0</v>
      </c>
      <c r="F8" s="59" t="s">
        <v>56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U8" s="63"/>
      <c r="V8" s="64"/>
    </row>
    <row r="9" spans="1:22" x14ac:dyDescent="0.25">
      <c r="A9" s="38">
        <v>1010</v>
      </c>
      <c r="B9" s="38">
        <v>0</v>
      </c>
      <c r="C9" s="38">
        <v>0</v>
      </c>
      <c r="D9" s="39" t="s">
        <v>57</v>
      </c>
      <c r="E9" s="40">
        <v>0</v>
      </c>
      <c r="F9" s="39" t="s">
        <v>58</v>
      </c>
      <c r="G9" s="41">
        <v>45702</v>
      </c>
      <c r="H9" s="41">
        <v>45702</v>
      </c>
      <c r="I9" s="41">
        <v>45702</v>
      </c>
      <c r="J9" s="41">
        <v>45702</v>
      </c>
      <c r="K9" s="41">
        <v>45702</v>
      </c>
      <c r="L9" s="65">
        <v>45702</v>
      </c>
      <c r="M9" s="65">
        <v>45702</v>
      </c>
      <c r="N9" s="65">
        <v>45702</v>
      </c>
      <c r="O9" s="65">
        <v>45702</v>
      </c>
      <c r="P9" s="65">
        <f>SUM(G9:O9)/9</f>
        <v>45702</v>
      </c>
      <c r="Q9" s="65">
        <f>SUM(G9:P9)/10</f>
        <v>45702</v>
      </c>
      <c r="R9" s="65">
        <f>SUM(G9:Q9)/11</f>
        <v>45702</v>
      </c>
      <c r="S9" s="41">
        <f>SUM(G9:R9)</f>
        <v>548424</v>
      </c>
      <c r="T9" s="42">
        <v>550689</v>
      </c>
      <c r="U9" s="66">
        <f>SUM(U98-U10-U11-U12-U17)</f>
        <v>739669</v>
      </c>
      <c r="V9" s="67"/>
    </row>
    <row r="10" spans="1:22" x14ac:dyDescent="0.25">
      <c r="A10" s="38">
        <v>1040</v>
      </c>
      <c r="B10" s="38">
        <v>0</v>
      </c>
      <c r="C10" s="38">
        <v>0</v>
      </c>
      <c r="D10" s="39" t="s">
        <v>57</v>
      </c>
      <c r="E10" s="40">
        <v>0</v>
      </c>
      <c r="F10" s="39" t="s">
        <v>59</v>
      </c>
      <c r="G10" s="41">
        <v>50</v>
      </c>
      <c r="H10" s="41">
        <v>0</v>
      </c>
      <c r="I10" s="41">
        <v>492</v>
      </c>
      <c r="J10" s="41">
        <v>0</v>
      </c>
      <c r="K10" s="41">
        <v>63</v>
      </c>
      <c r="L10" s="65">
        <v>0</v>
      </c>
      <c r="M10" s="65">
        <v>0</v>
      </c>
      <c r="N10" s="65">
        <v>60</v>
      </c>
      <c r="O10" s="65">
        <v>0</v>
      </c>
      <c r="P10" s="65">
        <v>0</v>
      </c>
      <c r="Q10" s="65">
        <v>0</v>
      </c>
      <c r="R10" s="65">
        <v>0</v>
      </c>
      <c r="S10" s="41">
        <f>SUM(G10:R10)</f>
        <v>665</v>
      </c>
      <c r="T10" s="42">
        <v>0</v>
      </c>
      <c r="U10" s="50">
        <v>0</v>
      </c>
      <c r="V10" s="67"/>
    </row>
    <row r="11" spans="1:22" x14ac:dyDescent="0.25">
      <c r="A11" s="38">
        <v>1050</v>
      </c>
      <c r="B11" s="38">
        <v>0</v>
      </c>
      <c r="C11" s="38">
        <v>0</v>
      </c>
      <c r="D11" s="39" t="s">
        <v>57</v>
      </c>
      <c r="E11" s="40">
        <v>0</v>
      </c>
      <c r="F11" s="39" t="s">
        <v>60</v>
      </c>
      <c r="G11" s="41">
        <v>150</v>
      </c>
      <c r="H11" s="41">
        <v>0</v>
      </c>
      <c r="I11" s="41">
        <v>300</v>
      </c>
      <c r="J11" s="41">
        <v>0</v>
      </c>
      <c r="K11" s="41">
        <v>50</v>
      </c>
      <c r="L11" s="65">
        <v>0</v>
      </c>
      <c r="M11" s="65">
        <v>0</v>
      </c>
      <c r="N11" s="65">
        <v>253</v>
      </c>
      <c r="O11" s="65">
        <v>0</v>
      </c>
      <c r="P11" s="65">
        <v>0</v>
      </c>
      <c r="Q11" s="65">
        <v>0</v>
      </c>
      <c r="R11" s="65">
        <v>0</v>
      </c>
      <c r="S11" s="41">
        <f>SUM(G11:R11)</f>
        <v>753</v>
      </c>
      <c r="T11" s="42">
        <v>0</v>
      </c>
      <c r="U11" s="50">
        <v>0</v>
      </c>
      <c r="V11" s="67"/>
    </row>
    <row r="12" spans="1:22" x14ac:dyDescent="0.25">
      <c r="A12" s="38">
        <v>1800</v>
      </c>
      <c r="B12" s="38">
        <v>0</v>
      </c>
      <c r="C12" s="38">
        <v>0</v>
      </c>
      <c r="D12" s="39" t="s">
        <v>57</v>
      </c>
      <c r="E12" s="40">
        <v>0</v>
      </c>
      <c r="F12" s="39" t="s">
        <v>61</v>
      </c>
      <c r="G12" s="41">
        <v>20.27</v>
      </c>
      <c r="H12" s="41">
        <v>36.340000000000003</v>
      </c>
      <c r="I12" s="41">
        <v>28.85</v>
      </c>
      <c r="J12" s="41">
        <v>39.64</v>
      </c>
      <c r="K12" s="41">
        <v>29.34</v>
      </c>
      <c r="L12" s="65">
        <v>28.61</v>
      </c>
      <c r="M12" s="65">
        <v>31.6</v>
      </c>
      <c r="N12" s="65">
        <v>30.39</v>
      </c>
      <c r="O12" s="65">
        <v>31.62</v>
      </c>
      <c r="P12" s="65">
        <f>SUM(G12:O12)/9</f>
        <v>30.740000000000002</v>
      </c>
      <c r="Q12" s="65">
        <f>SUM(G12:P12)/10</f>
        <v>30.740000000000002</v>
      </c>
      <c r="R12" s="65">
        <f>SUM(G12:Q12)/11</f>
        <v>30.740000000000006</v>
      </c>
      <c r="S12" s="41">
        <f>SUM(G12:R12)</f>
        <v>368.88000000000005</v>
      </c>
      <c r="T12" s="42">
        <v>0</v>
      </c>
      <c r="U12" s="50">
        <v>0</v>
      </c>
      <c r="V12" s="67"/>
    </row>
    <row r="13" spans="1:22" x14ac:dyDescent="0.25">
      <c r="A13" s="38">
        <v>1898</v>
      </c>
      <c r="B13" s="38">
        <v>0</v>
      </c>
      <c r="C13" s="38">
        <v>0</v>
      </c>
      <c r="D13" s="39" t="s">
        <v>62</v>
      </c>
      <c r="E13" s="40">
        <v>4</v>
      </c>
      <c r="F13" s="39" t="s">
        <v>63</v>
      </c>
      <c r="G13" s="68">
        <f t="shared" ref="G13:U13" si="0">SUM(G9:G12)</f>
        <v>45922.27</v>
      </c>
      <c r="H13" s="68">
        <f t="shared" si="0"/>
        <v>45738.34</v>
      </c>
      <c r="I13" s="68">
        <f t="shared" si="0"/>
        <v>46522.85</v>
      </c>
      <c r="J13" s="68">
        <f t="shared" si="0"/>
        <v>45741.64</v>
      </c>
      <c r="K13" s="68">
        <f t="shared" si="0"/>
        <v>45844.34</v>
      </c>
      <c r="L13" s="68">
        <f t="shared" si="0"/>
        <v>45730.61</v>
      </c>
      <c r="M13" s="68">
        <f t="shared" si="0"/>
        <v>45733.599999999999</v>
      </c>
      <c r="N13" s="68">
        <f t="shared" si="0"/>
        <v>46045.39</v>
      </c>
      <c r="O13" s="68">
        <f t="shared" si="0"/>
        <v>45733.62</v>
      </c>
      <c r="P13" s="68">
        <f t="shared" si="0"/>
        <v>45732.74</v>
      </c>
      <c r="Q13" s="68">
        <f t="shared" si="0"/>
        <v>45732.74</v>
      </c>
      <c r="R13" s="68">
        <f t="shared" si="0"/>
        <v>45732.74</v>
      </c>
      <c r="S13" s="68">
        <f t="shared" si="0"/>
        <v>550210.88</v>
      </c>
      <c r="T13" s="69">
        <f t="shared" si="0"/>
        <v>550689</v>
      </c>
      <c r="U13" s="70">
        <f t="shared" si="0"/>
        <v>739669</v>
      </c>
      <c r="V13" s="67"/>
    </row>
    <row r="14" spans="1:22" x14ac:dyDescent="0.25">
      <c r="A14" s="44"/>
      <c r="B14" s="44"/>
      <c r="C14" s="44"/>
      <c r="D14" s="45"/>
      <c r="E14" s="46"/>
      <c r="F14" s="45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50"/>
      <c r="V14" s="45"/>
    </row>
    <row r="15" spans="1:22" x14ac:dyDescent="0.25">
      <c r="A15" s="44"/>
      <c r="B15" s="44"/>
      <c r="C15" s="44"/>
      <c r="D15" s="45"/>
      <c r="E15" s="46"/>
      <c r="F15" s="45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  <c r="U15" s="50"/>
      <c r="V15" s="45"/>
    </row>
    <row r="16" spans="1:22" s="37" customFormat="1" x14ac:dyDescent="0.25">
      <c r="A16" s="71">
        <v>1899</v>
      </c>
      <c r="B16" s="71">
        <v>0</v>
      </c>
      <c r="C16" s="71">
        <v>0</v>
      </c>
      <c r="D16" s="52" t="s">
        <v>55</v>
      </c>
      <c r="E16" s="72">
        <v>0</v>
      </c>
      <c r="F16" s="52" t="s">
        <v>64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  <c r="U16" s="75"/>
      <c r="V16" s="76"/>
    </row>
    <row r="17" spans="1:22" x14ac:dyDescent="0.25">
      <c r="A17" s="38">
        <v>1995</v>
      </c>
      <c r="B17" s="38">
        <v>0</v>
      </c>
      <c r="C17" s="38">
        <v>0</v>
      </c>
      <c r="D17" s="39" t="s">
        <v>57</v>
      </c>
      <c r="E17" s="40">
        <v>0</v>
      </c>
      <c r="F17" s="39" t="s">
        <v>65</v>
      </c>
      <c r="G17" s="41">
        <v>132.18</v>
      </c>
      <c r="H17" s="41">
        <v>158.38999999999999</v>
      </c>
      <c r="I17" s="41">
        <v>150.69999999999999</v>
      </c>
      <c r="J17" s="41">
        <v>174.45</v>
      </c>
      <c r="K17" s="41">
        <v>170.38</v>
      </c>
      <c r="L17" s="65">
        <v>165.11</v>
      </c>
      <c r="M17" s="65">
        <v>152.04</v>
      </c>
      <c r="N17" s="65">
        <v>146.09</v>
      </c>
      <c r="O17" s="65">
        <v>137.44</v>
      </c>
      <c r="P17" s="65">
        <f>SUM(G17:O17)/9</f>
        <v>154.08666666666667</v>
      </c>
      <c r="Q17" s="65">
        <f>SUM(G17:P17)/10</f>
        <v>154.08666666666664</v>
      </c>
      <c r="R17" s="65">
        <f>SUM(G17:Q17)/11</f>
        <v>154.08666666666664</v>
      </c>
      <c r="S17" s="41">
        <f>SUM(G17:R17)</f>
        <v>1849.0399999999997</v>
      </c>
      <c r="T17" s="42">
        <v>0</v>
      </c>
      <c r="U17" s="50">
        <v>0</v>
      </c>
      <c r="V17" s="67"/>
    </row>
    <row r="18" spans="1:22" x14ac:dyDescent="0.25">
      <c r="A18" s="38">
        <v>1998</v>
      </c>
      <c r="B18" s="38">
        <v>0</v>
      </c>
      <c r="C18" s="38">
        <v>0</v>
      </c>
      <c r="D18" s="39" t="s">
        <v>62</v>
      </c>
      <c r="E18" s="40">
        <v>4</v>
      </c>
      <c r="F18" s="39" t="s">
        <v>66</v>
      </c>
      <c r="G18" s="68">
        <f t="shared" ref="G18:U18" si="1">SUM(G17:G17)</f>
        <v>132.18</v>
      </c>
      <c r="H18" s="68">
        <f t="shared" si="1"/>
        <v>158.38999999999999</v>
      </c>
      <c r="I18" s="68">
        <f t="shared" si="1"/>
        <v>150.69999999999999</v>
      </c>
      <c r="J18" s="68">
        <f t="shared" si="1"/>
        <v>174.45</v>
      </c>
      <c r="K18" s="68">
        <f t="shared" si="1"/>
        <v>170.38</v>
      </c>
      <c r="L18" s="68">
        <f t="shared" si="1"/>
        <v>165.11</v>
      </c>
      <c r="M18" s="68">
        <f t="shared" si="1"/>
        <v>152.04</v>
      </c>
      <c r="N18" s="68">
        <f t="shared" si="1"/>
        <v>146.09</v>
      </c>
      <c r="O18" s="68">
        <f t="shared" si="1"/>
        <v>137.44</v>
      </c>
      <c r="P18" s="68">
        <f t="shared" si="1"/>
        <v>154.08666666666667</v>
      </c>
      <c r="Q18" s="68">
        <f t="shared" si="1"/>
        <v>154.08666666666664</v>
      </c>
      <c r="R18" s="68">
        <f t="shared" si="1"/>
        <v>154.08666666666664</v>
      </c>
      <c r="S18" s="68">
        <f t="shared" si="1"/>
        <v>1849.0399999999997</v>
      </c>
      <c r="T18" s="69">
        <f t="shared" si="1"/>
        <v>0</v>
      </c>
      <c r="U18" s="70">
        <f t="shared" si="1"/>
        <v>0</v>
      </c>
      <c r="V18" s="67"/>
    </row>
    <row r="19" spans="1:22" x14ac:dyDescent="0.25">
      <c r="A19" s="38">
        <v>1999</v>
      </c>
      <c r="B19" s="38">
        <v>0</v>
      </c>
      <c r="C19" s="38">
        <v>0</v>
      </c>
      <c r="D19" s="39" t="s">
        <v>62</v>
      </c>
      <c r="E19" s="40">
        <v>7</v>
      </c>
      <c r="F19" s="39" t="s">
        <v>67</v>
      </c>
      <c r="G19" s="68">
        <f t="shared" ref="G19:U19" si="2">+G13+G18</f>
        <v>46054.45</v>
      </c>
      <c r="H19" s="68">
        <f t="shared" si="2"/>
        <v>45896.729999999996</v>
      </c>
      <c r="I19" s="68">
        <f t="shared" si="2"/>
        <v>46673.549999999996</v>
      </c>
      <c r="J19" s="68">
        <f t="shared" si="2"/>
        <v>45916.09</v>
      </c>
      <c r="K19" s="68">
        <f t="shared" si="2"/>
        <v>46014.719999999994</v>
      </c>
      <c r="L19" s="68">
        <f t="shared" si="2"/>
        <v>45895.72</v>
      </c>
      <c r="M19" s="68">
        <f t="shared" si="2"/>
        <v>45885.64</v>
      </c>
      <c r="N19" s="68">
        <f t="shared" si="2"/>
        <v>46191.479999999996</v>
      </c>
      <c r="O19" s="68">
        <f t="shared" si="2"/>
        <v>45871.060000000005</v>
      </c>
      <c r="P19" s="68">
        <f t="shared" si="2"/>
        <v>45886.826666666668</v>
      </c>
      <c r="Q19" s="68">
        <f t="shared" si="2"/>
        <v>45886.826666666668</v>
      </c>
      <c r="R19" s="68">
        <f t="shared" si="2"/>
        <v>45886.826666666668</v>
      </c>
      <c r="S19" s="68">
        <f t="shared" si="2"/>
        <v>552059.92000000004</v>
      </c>
      <c r="T19" s="69">
        <f t="shared" si="2"/>
        <v>550689</v>
      </c>
      <c r="U19" s="70">
        <f t="shared" si="2"/>
        <v>739669</v>
      </c>
      <c r="V19" s="67"/>
    </row>
    <row r="20" spans="1:22" hidden="1" x14ac:dyDescent="0.25">
      <c r="A20" s="44"/>
      <c r="B20" s="44"/>
      <c r="C20" s="44"/>
      <c r="D20" s="45"/>
      <c r="E20" s="46"/>
      <c r="F20" s="45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/>
      <c r="V20" s="45"/>
    </row>
    <row r="21" spans="1:22" hidden="1" x14ac:dyDescent="0.25">
      <c r="A21" s="44"/>
      <c r="B21" s="44"/>
      <c r="C21" s="44"/>
      <c r="D21" s="45"/>
      <c r="E21" s="46"/>
      <c r="F21" s="45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/>
      <c r="V21" s="45"/>
    </row>
    <row r="22" spans="1:22" s="28" customFormat="1" hidden="1" x14ac:dyDescent="0.25">
      <c r="A22" s="58">
        <v>2000</v>
      </c>
      <c r="B22" s="58">
        <v>0</v>
      </c>
      <c r="C22" s="58">
        <v>0</v>
      </c>
      <c r="D22" s="59" t="s">
        <v>55</v>
      </c>
      <c r="E22" s="60">
        <v>0</v>
      </c>
      <c r="F22" s="59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63"/>
      <c r="V22" s="64"/>
    </row>
    <row r="23" spans="1:22" hidden="1" x14ac:dyDescent="0.25">
      <c r="A23" s="44"/>
      <c r="B23" s="44"/>
      <c r="C23" s="44"/>
      <c r="D23" s="45"/>
      <c r="E23" s="46"/>
      <c r="F23" s="45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50"/>
      <c r="V23" s="45"/>
    </row>
    <row r="24" spans="1:22" x14ac:dyDescent="0.25">
      <c r="A24" s="44"/>
      <c r="B24" s="44"/>
      <c r="C24" s="44"/>
      <c r="D24" s="45"/>
      <c r="E24" s="46"/>
      <c r="F24" s="45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9"/>
      <c r="U24" s="50"/>
      <c r="V24" s="45"/>
    </row>
    <row r="25" spans="1:22" s="28" customFormat="1" x14ac:dyDescent="0.25">
      <c r="A25" s="58">
        <v>2001</v>
      </c>
      <c r="B25" s="58">
        <v>0</v>
      </c>
      <c r="C25" s="58">
        <v>0</v>
      </c>
      <c r="D25" s="59" t="s">
        <v>55</v>
      </c>
      <c r="E25" s="60">
        <v>0</v>
      </c>
      <c r="F25" s="59" t="s">
        <v>68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63"/>
      <c r="V25" s="64"/>
    </row>
    <row r="26" spans="1:22" x14ac:dyDescent="0.25">
      <c r="A26" s="44"/>
      <c r="B26" s="44"/>
      <c r="C26" s="44"/>
      <c r="D26" s="45"/>
      <c r="E26" s="46"/>
      <c r="F26" s="45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50"/>
      <c r="V26" s="45"/>
    </row>
    <row r="27" spans="1:22" hidden="1" x14ac:dyDescent="0.25">
      <c r="A27" s="44"/>
      <c r="B27" s="44"/>
      <c r="C27" s="44"/>
      <c r="D27" s="45"/>
      <c r="E27" s="46"/>
      <c r="F27" s="45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50"/>
      <c r="V27" s="45"/>
    </row>
    <row r="28" spans="1:22" s="28" customFormat="1" x14ac:dyDescent="0.25">
      <c r="A28" s="58">
        <v>2002</v>
      </c>
      <c r="B28" s="58">
        <v>0</v>
      </c>
      <c r="C28" s="58">
        <v>0</v>
      </c>
      <c r="D28" s="59" t="s">
        <v>55</v>
      </c>
      <c r="E28" s="60">
        <v>0</v>
      </c>
      <c r="F28" s="59" t="s">
        <v>69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63"/>
      <c r="V28" s="64"/>
    </row>
    <row r="29" spans="1:22" ht="34.5" x14ac:dyDescent="0.25">
      <c r="A29" s="38">
        <v>2020</v>
      </c>
      <c r="B29" s="38">
        <v>0</v>
      </c>
      <c r="C29" s="38">
        <v>0</v>
      </c>
      <c r="D29" s="39" t="s">
        <v>57</v>
      </c>
      <c r="E29" s="40">
        <v>0</v>
      </c>
      <c r="F29" s="39" t="s">
        <v>70</v>
      </c>
      <c r="G29" s="41">
        <v>552.5</v>
      </c>
      <c r="H29" s="41">
        <v>465</v>
      </c>
      <c r="I29" s="41">
        <v>465</v>
      </c>
      <c r="J29" s="41">
        <v>503.75</v>
      </c>
      <c r="K29" s="41">
        <v>536.6</v>
      </c>
      <c r="L29" s="65">
        <v>465</v>
      </c>
      <c r="M29" s="65">
        <v>465</v>
      </c>
      <c r="N29" s="65">
        <v>465</v>
      </c>
      <c r="O29" s="65">
        <v>564.75</v>
      </c>
      <c r="P29" s="65">
        <v>465</v>
      </c>
      <c r="Q29" s="65">
        <v>465</v>
      </c>
      <c r="R29" s="65">
        <v>465</v>
      </c>
      <c r="S29" s="41">
        <f t="shared" ref="S29:S42" si="3">SUM(G29:R29)</f>
        <v>5877.6</v>
      </c>
      <c r="T29" s="42">
        <v>6500</v>
      </c>
      <c r="U29" s="50">
        <v>6500</v>
      </c>
      <c r="V29" s="88" t="s">
        <v>204</v>
      </c>
    </row>
    <row r="30" spans="1:22" x14ac:dyDescent="0.25">
      <c r="A30" s="38">
        <v>2045</v>
      </c>
      <c r="B30" s="38">
        <v>0</v>
      </c>
      <c r="C30" s="38">
        <v>0</v>
      </c>
      <c r="D30" s="39" t="s">
        <v>57</v>
      </c>
      <c r="E30" s="40">
        <v>0</v>
      </c>
      <c r="F30" s="39" t="s">
        <v>71</v>
      </c>
      <c r="G30" s="41">
        <v>9434.0499999999993</v>
      </c>
      <c r="H30" s="41">
        <v>1672.79</v>
      </c>
      <c r="I30" s="41">
        <v>2463.15</v>
      </c>
      <c r="J30" s="41">
        <v>1863.66</v>
      </c>
      <c r="K30" s="41">
        <v>2485.0500000000002</v>
      </c>
      <c r="L30" s="65">
        <v>674.22</v>
      </c>
      <c r="M30" s="65">
        <v>1393.6</v>
      </c>
      <c r="N30" s="65">
        <v>1640.93</v>
      </c>
      <c r="O30" s="65">
        <v>1200</v>
      </c>
      <c r="P30" s="65">
        <v>750</v>
      </c>
      <c r="Q30" s="65">
        <v>1000</v>
      </c>
      <c r="R30" s="65">
        <v>900</v>
      </c>
      <c r="S30" s="41">
        <f t="shared" si="3"/>
        <v>25477.45</v>
      </c>
      <c r="T30" s="42">
        <v>28000</v>
      </c>
      <c r="U30" s="50">
        <v>30000</v>
      </c>
      <c r="V30" s="89" t="s">
        <v>207</v>
      </c>
    </row>
    <row r="31" spans="1:22" ht="34.5" x14ac:dyDescent="0.25">
      <c r="A31" s="38">
        <v>2047</v>
      </c>
      <c r="B31" s="38">
        <v>0</v>
      </c>
      <c r="C31" s="38">
        <v>0</v>
      </c>
      <c r="D31" s="39" t="s">
        <v>57</v>
      </c>
      <c r="E31" s="40">
        <v>0</v>
      </c>
      <c r="F31" s="39" t="s">
        <v>72</v>
      </c>
      <c r="G31" s="41">
        <v>5477</v>
      </c>
      <c r="H31" s="41">
        <v>0</v>
      </c>
      <c r="I31" s="41">
        <v>0</v>
      </c>
      <c r="J31" s="41">
        <v>5826</v>
      </c>
      <c r="K31" s="41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41">
        <f t="shared" si="3"/>
        <v>11303</v>
      </c>
      <c r="T31" s="42">
        <v>15000</v>
      </c>
      <c r="U31" s="50">
        <v>5000</v>
      </c>
      <c r="V31" s="89" t="s">
        <v>199</v>
      </c>
    </row>
    <row r="32" spans="1:22" ht="23.25" x14ac:dyDescent="0.25">
      <c r="A32" s="38">
        <v>2048</v>
      </c>
      <c r="B32" s="38">
        <v>0</v>
      </c>
      <c r="C32" s="38">
        <v>0</v>
      </c>
      <c r="D32" s="39" t="s">
        <v>57</v>
      </c>
      <c r="E32" s="40">
        <v>0</v>
      </c>
      <c r="F32" s="39" t="s">
        <v>73</v>
      </c>
      <c r="G32" s="41">
        <v>1011.69</v>
      </c>
      <c r="H32" s="41">
        <v>10.85</v>
      </c>
      <c r="I32" s="41">
        <v>165.85</v>
      </c>
      <c r="J32" s="41">
        <v>0</v>
      </c>
      <c r="K32" s="41">
        <v>1968.84</v>
      </c>
      <c r="L32" s="65">
        <v>165.85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41">
        <f t="shared" si="3"/>
        <v>3323.08</v>
      </c>
      <c r="T32" s="42">
        <v>3500</v>
      </c>
      <c r="U32" s="92">
        <v>3500</v>
      </c>
      <c r="V32" s="88" t="s">
        <v>208</v>
      </c>
    </row>
    <row r="33" spans="1:22" ht="23.25" x14ac:dyDescent="0.25">
      <c r="A33" s="38">
        <v>2056</v>
      </c>
      <c r="B33" s="38">
        <v>0</v>
      </c>
      <c r="C33" s="38">
        <v>0</v>
      </c>
      <c r="D33" s="39" t="s">
        <v>57</v>
      </c>
      <c r="E33" s="40">
        <v>0</v>
      </c>
      <c r="F33" s="39" t="s">
        <v>74</v>
      </c>
      <c r="G33" s="41">
        <v>1350</v>
      </c>
      <c r="H33" s="41">
        <v>1350</v>
      </c>
      <c r="I33" s="41">
        <v>1350</v>
      </c>
      <c r="J33" s="41">
        <v>1350</v>
      </c>
      <c r="K33" s="41">
        <v>1350</v>
      </c>
      <c r="L33" s="65">
        <v>1350</v>
      </c>
      <c r="M33" s="65">
        <v>1350</v>
      </c>
      <c r="N33" s="65">
        <v>1350</v>
      </c>
      <c r="O33" s="65">
        <v>1350</v>
      </c>
      <c r="P33" s="65">
        <v>1350</v>
      </c>
      <c r="Q33" s="65">
        <v>1350</v>
      </c>
      <c r="R33" s="65">
        <v>1350</v>
      </c>
      <c r="S33" s="41">
        <f t="shared" si="3"/>
        <v>16200</v>
      </c>
      <c r="T33" s="42">
        <v>15840</v>
      </c>
      <c r="U33" s="50">
        <v>16200</v>
      </c>
      <c r="V33" s="88" t="s">
        <v>193</v>
      </c>
    </row>
    <row r="34" spans="1:22" ht="34.5" x14ac:dyDescent="0.25">
      <c r="A34" s="38">
        <v>2060</v>
      </c>
      <c r="B34" s="38">
        <v>0</v>
      </c>
      <c r="C34" s="38">
        <v>0</v>
      </c>
      <c r="D34" s="39" t="s">
        <v>57</v>
      </c>
      <c r="E34" s="40">
        <v>0</v>
      </c>
      <c r="F34" s="39" t="s">
        <v>75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5170</v>
      </c>
      <c r="R34" s="65">
        <v>0</v>
      </c>
      <c r="S34" s="41">
        <f t="shared" si="3"/>
        <v>5170</v>
      </c>
      <c r="T34" s="42">
        <v>5370</v>
      </c>
      <c r="U34" s="92">
        <v>5475</v>
      </c>
      <c r="V34" s="88" t="s">
        <v>221</v>
      </c>
    </row>
    <row r="35" spans="1:22" ht="23.25" x14ac:dyDescent="0.25">
      <c r="A35" s="38">
        <v>2070</v>
      </c>
      <c r="B35" s="38">
        <v>0</v>
      </c>
      <c r="C35" s="38">
        <v>0</v>
      </c>
      <c r="D35" s="39" t="s">
        <v>57</v>
      </c>
      <c r="E35" s="40">
        <v>0</v>
      </c>
      <c r="F35" s="39" t="s">
        <v>76</v>
      </c>
      <c r="G35" s="41">
        <v>2989</v>
      </c>
      <c r="H35" s="41">
        <v>2989</v>
      </c>
      <c r="I35" s="41">
        <v>2989</v>
      </c>
      <c r="J35" s="41">
        <v>2989</v>
      </c>
      <c r="K35" s="41">
        <v>2989</v>
      </c>
      <c r="L35" s="65">
        <v>2989</v>
      </c>
      <c r="M35" s="65">
        <v>2989</v>
      </c>
      <c r="N35" s="65">
        <v>2989</v>
      </c>
      <c r="O35" s="65">
        <v>2989</v>
      </c>
      <c r="P35" s="65">
        <v>2989</v>
      </c>
      <c r="Q35" s="65">
        <v>2989</v>
      </c>
      <c r="R35" s="65">
        <v>2989</v>
      </c>
      <c r="S35" s="41">
        <f t="shared" si="3"/>
        <v>35868</v>
      </c>
      <c r="T35" s="42">
        <v>34560</v>
      </c>
      <c r="U35" s="50">
        <v>36944</v>
      </c>
      <c r="V35" s="89" t="s">
        <v>202</v>
      </c>
    </row>
    <row r="36" spans="1:22" ht="23.25" x14ac:dyDescent="0.25">
      <c r="A36" s="38">
        <v>2071</v>
      </c>
      <c r="B36" s="38">
        <v>0</v>
      </c>
      <c r="C36" s="38">
        <v>0</v>
      </c>
      <c r="D36" s="39" t="s">
        <v>57</v>
      </c>
      <c r="E36" s="40">
        <v>0</v>
      </c>
      <c r="F36" s="39" t="s">
        <v>77</v>
      </c>
      <c r="G36" s="41">
        <v>132</v>
      </c>
      <c r="H36" s="41">
        <v>0</v>
      </c>
      <c r="I36" s="41">
        <v>0</v>
      </c>
      <c r="J36" s="41">
        <v>0</v>
      </c>
      <c r="K36" s="41">
        <v>84.45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41">
        <f t="shared" si="3"/>
        <v>216.45</v>
      </c>
      <c r="T36" s="42">
        <v>900</v>
      </c>
      <c r="U36" s="50">
        <v>900</v>
      </c>
      <c r="V36" s="88" t="s">
        <v>209</v>
      </c>
    </row>
    <row r="37" spans="1:22" ht="45.75" x14ac:dyDescent="0.25">
      <c r="A37" s="38">
        <v>2072</v>
      </c>
      <c r="B37" s="38">
        <v>0</v>
      </c>
      <c r="C37" s="38">
        <v>0</v>
      </c>
      <c r="D37" s="39" t="s">
        <v>57</v>
      </c>
      <c r="E37" s="40">
        <v>0</v>
      </c>
      <c r="F37" s="39" t="s">
        <v>78</v>
      </c>
      <c r="G37" s="41">
        <v>350</v>
      </c>
      <c r="H37" s="41">
        <v>350</v>
      </c>
      <c r="I37" s="41">
        <v>350</v>
      </c>
      <c r="J37" s="41">
        <v>350</v>
      </c>
      <c r="K37" s="41">
        <v>1625</v>
      </c>
      <c r="L37" s="65">
        <v>350</v>
      </c>
      <c r="M37" s="65">
        <v>350</v>
      </c>
      <c r="N37" s="65">
        <v>350</v>
      </c>
      <c r="O37" s="65">
        <v>350</v>
      </c>
      <c r="P37" s="65">
        <v>350</v>
      </c>
      <c r="Q37" s="65">
        <v>350</v>
      </c>
      <c r="R37" s="65">
        <v>350</v>
      </c>
      <c r="S37" s="41">
        <f t="shared" si="3"/>
        <v>5475</v>
      </c>
      <c r="T37" s="42">
        <v>8150</v>
      </c>
      <c r="U37" s="50">
        <v>8150</v>
      </c>
      <c r="V37" s="89" t="s">
        <v>196</v>
      </c>
    </row>
    <row r="38" spans="1:22" ht="45.75" x14ac:dyDescent="0.25">
      <c r="A38" s="38">
        <v>2074</v>
      </c>
      <c r="B38" s="38">
        <v>0</v>
      </c>
      <c r="C38" s="38">
        <v>0</v>
      </c>
      <c r="D38" s="39" t="s">
        <v>57</v>
      </c>
      <c r="E38" s="40">
        <v>0</v>
      </c>
      <c r="F38" s="39" t="s">
        <v>79</v>
      </c>
      <c r="G38" s="41">
        <v>856.5</v>
      </c>
      <c r="H38" s="41">
        <v>400</v>
      </c>
      <c r="I38" s="41">
        <v>4219.25</v>
      </c>
      <c r="J38" s="41">
        <v>1862.25</v>
      </c>
      <c r="K38" s="41">
        <v>791.5</v>
      </c>
      <c r="L38" s="65">
        <v>1289.25</v>
      </c>
      <c r="M38" s="65">
        <v>926</v>
      </c>
      <c r="N38" s="65">
        <v>1146.25</v>
      </c>
      <c r="O38" s="65">
        <v>754.5</v>
      </c>
      <c r="P38" s="65">
        <v>550</v>
      </c>
      <c r="Q38" s="65">
        <v>550</v>
      </c>
      <c r="R38" s="65">
        <v>550</v>
      </c>
      <c r="S38" s="41">
        <f t="shared" si="3"/>
        <v>13895.5</v>
      </c>
      <c r="T38" s="42">
        <v>9000</v>
      </c>
      <c r="U38" s="92">
        <v>4800</v>
      </c>
      <c r="V38" s="89" t="s">
        <v>222</v>
      </c>
    </row>
    <row r="39" spans="1:22" ht="23.25" x14ac:dyDescent="0.25">
      <c r="A39" s="38">
        <v>2075</v>
      </c>
      <c r="B39" s="38">
        <v>0</v>
      </c>
      <c r="C39" s="38">
        <v>0</v>
      </c>
      <c r="D39" s="39" t="s">
        <v>57</v>
      </c>
      <c r="E39" s="40">
        <v>0</v>
      </c>
      <c r="F39" s="39" t="s">
        <v>80</v>
      </c>
      <c r="G39" s="41">
        <v>194.14</v>
      </c>
      <c r="H39" s="41">
        <v>0</v>
      </c>
      <c r="I39" s="41">
        <v>0</v>
      </c>
      <c r="J39" s="41">
        <v>0</v>
      </c>
      <c r="K39" s="41">
        <v>807.11</v>
      </c>
      <c r="L39" s="65">
        <v>640.95000000000005</v>
      </c>
      <c r="M39" s="65">
        <v>1075.67</v>
      </c>
      <c r="N39" s="65">
        <v>0</v>
      </c>
      <c r="O39" s="65">
        <v>145</v>
      </c>
      <c r="P39" s="65">
        <v>0</v>
      </c>
      <c r="Q39" s="65">
        <v>0</v>
      </c>
      <c r="R39" s="65">
        <v>0</v>
      </c>
      <c r="S39" s="41">
        <f t="shared" si="3"/>
        <v>2862.87</v>
      </c>
      <c r="T39" s="42">
        <v>4000</v>
      </c>
      <c r="U39" s="50">
        <v>4000</v>
      </c>
      <c r="V39" s="88" t="s">
        <v>211</v>
      </c>
    </row>
    <row r="40" spans="1:22" x14ac:dyDescent="0.25">
      <c r="A40" s="38">
        <v>2060</v>
      </c>
      <c r="B40" s="38">
        <v>0</v>
      </c>
      <c r="C40" s="38">
        <v>0</v>
      </c>
      <c r="D40" s="39" t="s">
        <v>57</v>
      </c>
      <c r="E40" s="40">
        <v>0</v>
      </c>
      <c r="F40" s="39" t="s">
        <v>200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41">
        <f t="shared" ref="S40" si="4">SUM(G40:R40)</f>
        <v>0</v>
      </c>
      <c r="T40" s="42">
        <v>0</v>
      </c>
      <c r="U40" s="92">
        <v>5000</v>
      </c>
      <c r="V40" s="91" t="s">
        <v>201</v>
      </c>
    </row>
    <row r="41" spans="1:22" ht="34.5" x14ac:dyDescent="0.25">
      <c r="A41" s="38">
        <v>2080</v>
      </c>
      <c r="B41" s="38">
        <v>0</v>
      </c>
      <c r="C41" s="38">
        <v>0</v>
      </c>
      <c r="D41" s="39" t="s">
        <v>57</v>
      </c>
      <c r="E41" s="40">
        <v>0</v>
      </c>
      <c r="F41" s="39" t="s">
        <v>81</v>
      </c>
      <c r="G41" s="41">
        <v>0</v>
      </c>
      <c r="H41" s="41">
        <v>95</v>
      </c>
      <c r="I41" s="41">
        <v>525</v>
      </c>
      <c r="J41" s="41">
        <v>95</v>
      </c>
      <c r="K41" s="41">
        <v>595</v>
      </c>
      <c r="L41" s="65">
        <v>275</v>
      </c>
      <c r="M41" s="65">
        <v>95</v>
      </c>
      <c r="N41" s="65">
        <v>95</v>
      </c>
      <c r="O41" s="65">
        <v>0</v>
      </c>
      <c r="P41" s="65">
        <v>0</v>
      </c>
      <c r="Q41" s="65">
        <v>0</v>
      </c>
      <c r="R41" s="65">
        <v>0</v>
      </c>
      <c r="S41" s="41">
        <f t="shared" si="3"/>
        <v>1775</v>
      </c>
      <c r="T41" s="42">
        <v>2000</v>
      </c>
      <c r="U41" s="50">
        <v>2000</v>
      </c>
      <c r="V41" s="88" t="s">
        <v>212</v>
      </c>
    </row>
    <row r="42" spans="1:22" ht="23.25" x14ac:dyDescent="0.25">
      <c r="A42" s="38">
        <v>2099</v>
      </c>
      <c r="B42" s="38">
        <v>0</v>
      </c>
      <c r="C42" s="38">
        <v>0</v>
      </c>
      <c r="D42" s="39" t="s">
        <v>57</v>
      </c>
      <c r="E42" s="40">
        <v>0</v>
      </c>
      <c r="F42" s="39" t="s">
        <v>82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41">
        <f t="shared" si="3"/>
        <v>0</v>
      </c>
      <c r="T42" s="42">
        <v>500</v>
      </c>
      <c r="U42" s="50">
        <v>500</v>
      </c>
      <c r="V42" s="88" t="s">
        <v>194</v>
      </c>
    </row>
    <row r="43" spans="1:22" x14ac:dyDescent="0.25">
      <c r="A43" s="38">
        <v>2999</v>
      </c>
      <c r="B43" s="38">
        <v>0</v>
      </c>
      <c r="C43" s="38">
        <v>0</v>
      </c>
      <c r="D43" s="39" t="s">
        <v>62</v>
      </c>
      <c r="E43" s="40">
        <v>4</v>
      </c>
      <c r="F43" s="39" t="s">
        <v>83</v>
      </c>
      <c r="G43" s="68">
        <f t="shared" ref="G43:U43" si="5">SUM(G29:G42)</f>
        <v>22346.879999999997</v>
      </c>
      <c r="H43" s="68">
        <f t="shared" si="5"/>
        <v>7332.6399999999994</v>
      </c>
      <c r="I43" s="68">
        <f t="shared" si="5"/>
        <v>12527.25</v>
      </c>
      <c r="J43" s="68">
        <f t="shared" si="5"/>
        <v>14839.66</v>
      </c>
      <c r="K43" s="68">
        <f t="shared" si="5"/>
        <v>13232.550000000001</v>
      </c>
      <c r="L43" s="68">
        <f t="shared" si="5"/>
        <v>8199.27</v>
      </c>
      <c r="M43" s="68">
        <f t="shared" si="5"/>
        <v>8644.27</v>
      </c>
      <c r="N43" s="68">
        <f t="shared" si="5"/>
        <v>8036.18</v>
      </c>
      <c r="O43" s="68">
        <f t="shared" si="5"/>
        <v>7353.25</v>
      </c>
      <c r="P43" s="68">
        <f t="shared" si="5"/>
        <v>6454</v>
      </c>
      <c r="Q43" s="68">
        <f t="shared" si="5"/>
        <v>11874</v>
      </c>
      <c r="R43" s="68">
        <f t="shared" si="5"/>
        <v>6604</v>
      </c>
      <c r="S43" s="68">
        <f t="shared" si="5"/>
        <v>127443.95</v>
      </c>
      <c r="T43" s="69">
        <f t="shared" si="5"/>
        <v>133320</v>
      </c>
      <c r="U43" s="70">
        <f t="shared" si="5"/>
        <v>128969</v>
      </c>
    </row>
    <row r="44" spans="1:22" x14ac:dyDescent="0.25">
      <c r="A44" s="44"/>
      <c r="B44" s="44"/>
      <c r="C44" s="44"/>
      <c r="D44" s="45"/>
      <c r="E44" s="46"/>
      <c r="F44" s="45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9"/>
      <c r="U44" s="50"/>
      <c r="V44" s="45"/>
    </row>
    <row r="45" spans="1:22" hidden="1" x14ac:dyDescent="0.25">
      <c r="A45" s="44"/>
      <c r="B45" s="44"/>
      <c r="C45" s="44"/>
      <c r="D45" s="45"/>
      <c r="E45" s="46"/>
      <c r="F45" s="45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  <c r="U45" s="50"/>
      <c r="V45" s="45"/>
    </row>
    <row r="46" spans="1:22" s="28" customFormat="1" x14ac:dyDescent="0.25">
      <c r="A46" s="58">
        <v>3000</v>
      </c>
      <c r="B46" s="58">
        <v>0</v>
      </c>
      <c r="C46" s="58">
        <v>0</v>
      </c>
      <c r="D46" s="59" t="s">
        <v>55</v>
      </c>
      <c r="E46" s="60">
        <v>0</v>
      </c>
      <c r="F46" s="59" t="s">
        <v>84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2"/>
      <c r="U46" s="63"/>
      <c r="V46" s="93" t="s">
        <v>195</v>
      </c>
    </row>
    <row r="47" spans="1:22" x14ac:dyDescent="0.25">
      <c r="A47" s="38">
        <v>3999</v>
      </c>
      <c r="B47" s="38">
        <v>0</v>
      </c>
      <c r="C47" s="38">
        <v>0</v>
      </c>
      <c r="D47" s="39" t="s">
        <v>62</v>
      </c>
      <c r="E47" s="40">
        <v>4</v>
      </c>
      <c r="F47" s="39" t="s">
        <v>85</v>
      </c>
      <c r="G47" s="68">
        <f t="shared" ref="G47:U47" si="6">SUM(G46:G46)</f>
        <v>0</v>
      </c>
      <c r="H47" s="68">
        <f t="shared" si="6"/>
        <v>0</v>
      </c>
      <c r="I47" s="68">
        <f t="shared" si="6"/>
        <v>0</v>
      </c>
      <c r="J47" s="68">
        <f t="shared" si="6"/>
        <v>0</v>
      </c>
      <c r="K47" s="68">
        <f t="shared" si="6"/>
        <v>0</v>
      </c>
      <c r="L47" s="68">
        <f t="shared" si="6"/>
        <v>0</v>
      </c>
      <c r="M47" s="68">
        <f t="shared" si="6"/>
        <v>0</v>
      </c>
      <c r="N47" s="68">
        <f t="shared" si="6"/>
        <v>0</v>
      </c>
      <c r="O47" s="68">
        <f t="shared" si="6"/>
        <v>0</v>
      </c>
      <c r="P47" s="68">
        <f t="shared" si="6"/>
        <v>0</v>
      </c>
      <c r="Q47" s="68">
        <f t="shared" si="6"/>
        <v>0</v>
      </c>
      <c r="R47" s="68">
        <f t="shared" si="6"/>
        <v>0</v>
      </c>
      <c r="S47" s="68">
        <f t="shared" si="6"/>
        <v>0</v>
      </c>
      <c r="T47" s="69">
        <f t="shared" si="6"/>
        <v>0</v>
      </c>
      <c r="U47" s="70">
        <f t="shared" si="6"/>
        <v>0</v>
      </c>
      <c r="V47" s="67"/>
    </row>
    <row r="48" spans="1:22" x14ac:dyDescent="0.25">
      <c r="A48" s="44"/>
      <c r="B48" s="44"/>
      <c r="C48" s="44"/>
      <c r="D48" s="45"/>
      <c r="E48" s="46"/>
      <c r="F48" s="45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9"/>
      <c r="U48" s="50"/>
      <c r="V48" s="45"/>
    </row>
    <row r="49" spans="1:22" hidden="1" x14ac:dyDescent="0.25">
      <c r="A49" s="44"/>
      <c r="B49" s="44"/>
      <c r="C49" s="44"/>
      <c r="D49" s="45"/>
      <c r="E49" s="46"/>
      <c r="F49" s="45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9"/>
      <c r="U49" s="50"/>
      <c r="V49" s="45"/>
    </row>
    <row r="50" spans="1:22" s="28" customFormat="1" x14ac:dyDescent="0.25">
      <c r="A50" s="58">
        <v>4000</v>
      </c>
      <c r="B50" s="58">
        <v>0</v>
      </c>
      <c r="C50" s="58">
        <v>0</v>
      </c>
      <c r="D50" s="59" t="s">
        <v>55</v>
      </c>
      <c r="E50" s="60">
        <v>0</v>
      </c>
      <c r="F50" s="59" t="s">
        <v>86</v>
      </c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  <c r="U50" s="63"/>
      <c r="V50" s="64"/>
    </row>
    <row r="51" spans="1:22" ht="23.25" x14ac:dyDescent="0.25">
      <c r="A51" s="38">
        <v>4010</v>
      </c>
      <c r="B51" s="38">
        <v>0</v>
      </c>
      <c r="C51" s="38">
        <v>0</v>
      </c>
      <c r="D51" s="39" t="s">
        <v>57</v>
      </c>
      <c r="E51" s="40">
        <v>0</v>
      </c>
      <c r="F51" s="39" t="s">
        <v>87</v>
      </c>
      <c r="G51" s="41">
        <v>2322.0500000000002</v>
      </c>
      <c r="H51" s="41">
        <v>2554.16</v>
      </c>
      <c r="I51" s="41">
        <v>2488.8000000000002</v>
      </c>
      <c r="J51" s="41">
        <v>2200.35</v>
      </c>
      <c r="K51" s="41">
        <v>1885.86</v>
      </c>
      <c r="L51" s="65">
        <v>1532.84</v>
      </c>
      <c r="M51" s="65">
        <v>1267.71</v>
      </c>
      <c r="N51" s="65">
        <v>1400</v>
      </c>
      <c r="O51" s="65">
        <v>1264.8399999999999</v>
      </c>
      <c r="P51" s="65">
        <v>1600</v>
      </c>
      <c r="Q51" s="65">
        <v>1900</v>
      </c>
      <c r="R51" s="65">
        <v>2300</v>
      </c>
      <c r="S51" s="41">
        <f t="shared" ref="S51:S57" si="7">SUM(G51:R51)</f>
        <v>22716.61</v>
      </c>
      <c r="T51" s="42">
        <v>26000</v>
      </c>
      <c r="U51" s="50">
        <v>24500</v>
      </c>
      <c r="V51" s="88" t="s">
        <v>213</v>
      </c>
    </row>
    <row r="52" spans="1:22" ht="23.25" x14ac:dyDescent="0.25">
      <c r="A52" s="38">
        <v>4015</v>
      </c>
      <c r="B52" s="38">
        <v>0</v>
      </c>
      <c r="C52" s="38">
        <v>0</v>
      </c>
      <c r="D52" s="39" t="s">
        <v>57</v>
      </c>
      <c r="E52" s="40">
        <v>0</v>
      </c>
      <c r="F52" s="39" t="s">
        <v>88</v>
      </c>
      <c r="G52" s="41">
        <v>0</v>
      </c>
      <c r="H52" s="41">
        <v>2314.1999999999998</v>
      </c>
      <c r="I52" s="41">
        <v>0</v>
      </c>
      <c r="J52" s="41">
        <v>2314.1999999999998</v>
      </c>
      <c r="K52" s="41">
        <v>0</v>
      </c>
      <c r="L52" s="65">
        <v>2314.1999999999998</v>
      </c>
      <c r="M52" s="65">
        <v>0</v>
      </c>
      <c r="N52" s="65">
        <v>2314.1999999999998</v>
      </c>
      <c r="O52" s="65">
        <v>0</v>
      </c>
      <c r="P52" s="65">
        <v>2314.1999999999998</v>
      </c>
      <c r="Q52" s="65">
        <v>0</v>
      </c>
      <c r="R52" s="65">
        <v>2314.1999999999998</v>
      </c>
      <c r="S52" s="41">
        <f t="shared" si="7"/>
        <v>13885.2</v>
      </c>
      <c r="T52" s="42">
        <v>13500</v>
      </c>
      <c r="U52" s="50">
        <v>14000</v>
      </c>
      <c r="V52" s="88" t="s">
        <v>214</v>
      </c>
    </row>
    <row r="53" spans="1:22" ht="23.25" x14ac:dyDescent="0.25">
      <c r="A53" s="38">
        <v>4020</v>
      </c>
      <c r="B53" s="38">
        <v>0</v>
      </c>
      <c r="C53" s="38">
        <v>0</v>
      </c>
      <c r="D53" s="39" t="s">
        <v>57</v>
      </c>
      <c r="E53" s="40">
        <v>0</v>
      </c>
      <c r="F53" s="39" t="s">
        <v>89</v>
      </c>
      <c r="G53" s="41">
        <v>0</v>
      </c>
      <c r="H53" s="41">
        <v>3589.01</v>
      </c>
      <c r="I53" s="41">
        <v>0</v>
      </c>
      <c r="J53" s="41">
        <v>4129.6099999999997</v>
      </c>
      <c r="K53" s="41">
        <v>0</v>
      </c>
      <c r="L53" s="65">
        <v>3139</v>
      </c>
      <c r="M53" s="65">
        <v>0</v>
      </c>
      <c r="N53" s="65">
        <v>1962.88</v>
      </c>
      <c r="O53" s="65">
        <v>0</v>
      </c>
      <c r="P53" s="65">
        <v>2280</v>
      </c>
      <c r="Q53" s="65">
        <v>0</v>
      </c>
      <c r="R53" s="65">
        <v>3700</v>
      </c>
      <c r="S53" s="41">
        <f t="shared" si="7"/>
        <v>18800.5</v>
      </c>
      <c r="T53" s="42">
        <v>17500</v>
      </c>
      <c r="U53" s="50">
        <v>20000</v>
      </c>
      <c r="V53" s="88" t="s">
        <v>215</v>
      </c>
    </row>
    <row r="54" spans="1:22" ht="23.25" x14ac:dyDescent="0.25">
      <c r="A54" s="38">
        <v>4030</v>
      </c>
      <c r="B54" s="38">
        <v>0</v>
      </c>
      <c r="C54" s="38">
        <v>0</v>
      </c>
      <c r="D54" s="39" t="s">
        <v>57</v>
      </c>
      <c r="E54" s="40">
        <v>0</v>
      </c>
      <c r="F54" s="39" t="s">
        <v>90</v>
      </c>
      <c r="G54" s="41">
        <v>0</v>
      </c>
      <c r="H54" s="41">
        <v>6733.8</v>
      </c>
      <c r="I54" s="41">
        <v>0</v>
      </c>
      <c r="J54" s="41">
        <v>6733.8</v>
      </c>
      <c r="K54" s="41">
        <v>0</v>
      </c>
      <c r="L54" s="65">
        <v>6733.8</v>
      </c>
      <c r="M54" s="65">
        <v>0</v>
      </c>
      <c r="N54" s="65">
        <v>6733.8</v>
      </c>
      <c r="O54" s="65">
        <v>0</v>
      </c>
      <c r="P54" s="65">
        <v>6733.8</v>
      </c>
      <c r="Q54" s="65">
        <v>0</v>
      </c>
      <c r="R54" s="65">
        <v>6733.8</v>
      </c>
      <c r="S54" s="41">
        <f>SUM(G54:R54)</f>
        <v>40402.800000000003</v>
      </c>
      <c r="T54" s="42">
        <v>42442</v>
      </c>
      <c r="U54" s="50">
        <v>42442</v>
      </c>
      <c r="V54" s="89" t="s">
        <v>216</v>
      </c>
    </row>
    <row r="55" spans="1:22" ht="23.25" x14ac:dyDescent="0.25">
      <c r="A55" s="38">
        <v>4040</v>
      </c>
      <c r="B55" s="38">
        <v>0</v>
      </c>
      <c r="C55" s="38">
        <v>0</v>
      </c>
      <c r="D55" s="39" t="s">
        <v>57</v>
      </c>
      <c r="E55" s="40">
        <v>0</v>
      </c>
      <c r="F55" s="39" t="s">
        <v>91</v>
      </c>
      <c r="G55" s="41">
        <v>0</v>
      </c>
      <c r="H55" s="41">
        <v>1664</v>
      </c>
      <c r="I55" s="41">
        <v>0</v>
      </c>
      <c r="J55" s="41">
        <v>1664</v>
      </c>
      <c r="K55" s="41">
        <v>0</v>
      </c>
      <c r="L55" s="65">
        <v>1519.73</v>
      </c>
      <c r="M55" s="65">
        <v>0</v>
      </c>
      <c r="N55" s="95">
        <v>784</v>
      </c>
      <c r="O55" s="65">
        <v>0</v>
      </c>
      <c r="P55" s="65">
        <v>1664</v>
      </c>
      <c r="Q55" s="65">
        <v>0</v>
      </c>
      <c r="R55" s="65">
        <v>1664</v>
      </c>
      <c r="S55" s="41">
        <f t="shared" si="7"/>
        <v>8959.73</v>
      </c>
      <c r="T55" s="42">
        <v>9428</v>
      </c>
      <c r="U55" s="50">
        <v>9428</v>
      </c>
      <c r="V55" s="89" t="s">
        <v>197</v>
      </c>
    </row>
    <row r="56" spans="1:22" ht="45.75" x14ac:dyDescent="0.25">
      <c r="A56" s="38">
        <v>4050</v>
      </c>
      <c r="B56" s="38">
        <v>0</v>
      </c>
      <c r="C56" s="38">
        <v>0</v>
      </c>
      <c r="D56" s="39" t="s">
        <v>57</v>
      </c>
      <c r="E56" s="40">
        <v>0</v>
      </c>
      <c r="F56" s="39" t="s">
        <v>92</v>
      </c>
      <c r="G56" s="41">
        <v>119.08</v>
      </c>
      <c r="H56" s="41">
        <v>201.52</v>
      </c>
      <c r="I56" s="41">
        <v>201.52</v>
      </c>
      <c r="J56" s="41">
        <v>202.02</v>
      </c>
      <c r="K56" s="41">
        <v>203.35</v>
      </c>
      <c r="L56" s="65">
        <v>203.35</v>
      </c>
      <c r="M56" s="65">
        <v>203.69</v>
      </c>
      <c r="N56" s="65">
        <v>204</v>
      </c>
      <c r="O56" s="65">
        <v>204.83</v>
      </c>
      <c r="P56" s="65">
        <v>204</v>
      </c>
      <c r="Q56" s="65">
        <v>205</v>
      </c>
      <c r="R56" s="65">
        <v>205</v>
      </c>
      <c r="S56" s="41">
        <f t="shared" si="7"/>
        <v>2357.3599999999997</v>
      </c>
      <c r="T56" s="42">
        <v>2638</v>
      </c>
      <c r="U56" s="50">
        <v>2638</v>
      </c>
      <c r="V56" s="88" t="s">
        <v>217</v>
      </c>
    </row>
    <row r="57" spans="1:22" ht="23.25" x14ac:dyDescent="0.25">
      <c r="A57" s="38">
        <v>4070</v>
      </c>
      <c r="B57" s="38">
        <v>0</v>
      </c>
      <c r="C57" s="38">
        <v>0</v>
      </c>
      <c r="D57" s="39" t="s">
        <v>57</v>
      </c>
      <c r="E57" s="40">
        <v>0</v>
      </c>
      <c r="F57" s="39" t="s">
        <v>93</v>
      </c>
      <c r="G57" s="41">
        <v>3529.16</v>
      </c>
      <c r="H57" s="41">
        <v>3846.8</v>
      </c>
      <c r="I57" s="41">
        <v>3646.76</v>
      </c>
      <c r="J57" s="41">
        <v>3646.76</v>
      </c>
      <c r="K57" s="41">
        <v>3646.76</v>
      </c>
      <c r="L57" s="65">
        <v>3648.76</v>
      </c>
      <c r="M57" s="65">
        <v>3648.76</v>
      </c>
      <c r="N57" s="65">
        <v>3648.76</v>
      </c>
      <c r="O57" s="65">
        <v>3648.76</v>
      </c>
      <c r="P57" s="65">
        <v>3648.76</v>
      </c>
      <c r="Q57" s="65">
        <v>3648.76</v>
      </c>
      <c r="R57" s="65">
        <v>3648.76</v>
      </c>
      <c r="S57" s="41">
        <f t="shared" si="7"/>
        <v>43857.560000000012</v>
      </c>
      <c r="T57" s="42">
        <v>44669</v>
      </c>
      <c r="U57" s="92">
        <v>46489</v>
      </c>
      <c r="V57" s="89" t="s">
        <v>205</v>
      </c>
    </row>
    <row r="58" spans="1:22" x14ac:dyDescent="0.25">
      <c r="A58" s="38">
        <v>4999</v>
      </c>
      <c r="B58" s="38">
        <v>0</v>
      </c>
      <c r="C58" s="38">
        <v>0</v>
      </c>
      <c r="D58" s="39" t="s">
        <v>62</v>
      </c>
      <c r="E58" s="40">
        <v>4</v>
      </c>
      <c r="F58" s="39" t="s">
        <v>94</v>
      </c>
      <c r="G58" s="68">
        <f t="shared" ref="G58:T58" si="8">SUM(G51:G57)</f>
        <v>5970.29</v>
      </c>
      <c r="H58" s="68">
        <f t="shared" si="8"/>
        <v>20903.489999999998</v>
      </c>
      <c r="I58" s="68">
        <f t="shared" si="8"/>
        <v>6337.08</v>
      </c>
      <c r="J58" s="68">
        <f t="shared" si="8"/>
        <v>20890.739999999998</v>
      </c>
      <c r="K58" s="68">
        <f t="shared" si="8"/>
        <v>5735.97</v>
      </c>
      <c r="L58" s="68">
        <f t="shared" si="8"/>
        <v>19091.68</v>
      </c>
      <c r="M58" s="68">
        <f t="shared" si="8"/>
        <v>5120.16</v>
      </c>
      <c r="N58" s="68">
        <f t="shared" si="8"/>
        <v>17047.64</v>
      </c>
      <c r="O58" s="68">
        <f t="shared" si="8"/>
        <v>5118.43</v>
      </c>
      <c r="P58" s="68">
        <f t="shared" si="8"/>
        <v>18444.760000000002</v>
      </c>
      <c r="Q58" s="68">
        <f t="shared" si="8"/>
        <v>5753.76</v>
      </c>
      <c r="R58" s="68">
        <f t="shared" si="8"/>
        <v>20565.760000000002</v>
      </c>
      <c r="S58" s="68">
        <f t="shared" si="8"/>
        <v>150979.76</v>
      </c>
      <c r="T58" s="69">
        <f t="shared" si="8"/>
        <v>156177</v>
      </c>
      <c r="U58" s="70">
        <f>SUM(U51:U57)</f>
        <v>159497</v>
      </c>
      <c r="V58" s="67"/>
    </row>
    <row r="59" spans="1:22" x14ac:dyDescent="0.25">
      <c r="A59" s="44"/>
      <c r="B59" s="44"/>
      <c r="C59" s="44"/>
      <c r="D59" s="45"/>
      <c r="E59" s="46"/>
      <c r="F59" s="45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9"/>
      <c r="U59" s="50"/>
      <c r="V59" s="45"/>
    </row>
    <row r="60" spans="1:22" hidden="1" x14ac:dyDescent="0.25">
      <c r="A60" s="44"/>
      <c r="B60" s="44"/>
      <c r="C60" s="44"/>
      <c r="D60" s="45"/>
      <c r="E60" s="46"/>
      <c r="F60" s="45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9"/>
      <c r="U60" s="50"/>
      <c r="V60" s="45"/>
    </row>
    <row r="61" spans="1:22" s="28" customFormat="1" x14ac:dyDescent="0.25">
      <c r="A61" s="58">
        <v>5000</v>
      </c>
      <c r="B61" s="58">
        <v>0</v>
      </c>
      <c r="C61" s="58">
        <v>0</v>
      </c>
      <c r="D61" s="59" t="s">
        <v>55</v>
      </c>
      <c r="E61" s="60">
        <v>0</v>
      </c>
      <c r="F61" s="59" t="s">
        <v>95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2"/>
      <c r="U61" s="63"/>
      <c r="V61" s="64"/>
    </row>
    <row r="62" spans="1:22" x14ac:dyDescent="0.25">
      <c r="A62" s="38">
        <v>5010</v>
      </c>
      <c r="B62" s="38">
        <v>0</v>
      </c>
      <c r="C62" s="38">
        <v>0</v>
      </c>
      <c r="D62" s="39" t="s">
        <v>57</v>
      </c>
      <c r="E62" s="40">
        <v>0</v>
      </c>
      <c r="F62" s="39" t="s">
        <v>96</v>
      </c>
      <c r="G62" s="41">
        <v>2273.5</v>
      </c>
      <c r="H62" s="41">
        <v>2273.5</v>
      </c>
      <c r="I62" s="41">
        <v>2273.5</v>
      </c>
      <c r="J62" s="41">
        <v>2273.5</v>
      </c>
      <c r="K62" s="41">
        <v>2387.17</v>
      </c>
      <c r="L62" s="65">
        <v>2387.17</v>
      </c>
      <c r="M62" s="65">
        <v>2387.17</v>
      </c>
      <c r="N62" s="65">
        <v>2387.17</v>
      </c>
      <c r="O62" s="65">
        <v>2387.17</v>
      </c>
      <c r="P62" s="65">
        <v>2387.17</v>
      </c>
      <c r="Q62" s="65">
        <v>2387.17</v>
      </c>
      <c r="R62" s="65">
        <v>2387.17</v>
      </c>
      <c r="S62" s="41">
        <f t="shared" ref="S62:S67" si="9">SUM(G62:R62)</f>
        <v>28191.359999999993</v>
      </c>
      <c r="T62" s="42">
        <v>28191</v>
      </c>
      <c r="U62" s="50">
        <v>28191</v>
      </c>
      <c r="V62" s="88" t="s">
        <v>218</v>
      </c>
    </row>
    <row r="63" spans="1:22" ht="34.5" x14ac:dyDescent="0.25">
      <c r="A63" s="38">
        <v>5011</v>
      </c>
      <c r="B63" s="38">
        <v>0</v>
      </c>
      <c r="C63" s="38">
        <v>0</v>
      </c>
      <c r="D63" s="39" t="s">
        <v>57</v>
      </c>
      <c r="E63" s="40">
        <v>0</v>
      </c>
      <c r="F63" s="39" t="s">
        <v>97</v>
      </c>
      <c r="G63" s="41">
        <v>544.19000000000005</v>
      </c>
      <c r="H63" s="41">
        <v>614.17999999999995</v>
      </c>
      <c r="I63" s="41">
        <v>507.32</v>
      </c>
      <c r="J63" s="41">
        <v>623.29999999999995</v>
      </c>
      <c r="K63" s="41">
        <v>658.45</v>
      </c>
      <c r="L63" s="65">
        <v>238.93</v>
      </c>
      <c r="M63" s="65">
        <v>400.57</v>
      </c>
      <c r="N63" s="65">
        <v>177.24</v>
      </c>
      <c r="O63" s="65">
        <v>118</v>
      </c>
      <c r="P63" s="65">
        <v>200</v>
      </c>
      <c r="Q63" s="65">
        <v>150</v>
      </c>
      <c r="R63" s="65">
        <v>1760</v>
      </c>
      <c r="S63" s="41">
        <f t="shared" si="9"/>
        <v>5992.1799999999994</v>
      </c>
      <c r="T63" s="42">
        <v>5300</v>
      </c>
      <c r="U63" s="50">
        <v>6050</v>
      </c>
      <c r="V63" s="89" t="s">
        <v>219</v>
      </c>
    </row>
    <row r="64" spans="1:22" ht="23.25" x14ac:dyDescent="0.25">
      <c r="A64" s="38">
        <v>5015</v>
      </c>
      <c r="B64" s="38">
        <v>0</v>
      </c>
      <c r="C64" s="38">
        <v>0</v>
      </c>
      <c r="D64" s="39" t="s">
        <v>57</v>
      </c>
      <c r="E64" s="40">
        <v>0</v>
      </c>
      <c r="F64" s="39" t="s">
        <v>98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696</v>
      </c>
      <c r="R64" s="65">
        <v>0</v>
      </c>
      <c r="S64" s="41">
        <f t="shared" si="9"/>
        <v>696</v>
      </c>
      <c r="T64" s="42">
        <v>696</v>
      </c>
      <c r="U64" s="50">
        <v>696</v>
      </c>
      <c r="V64" s="88" t="s">
        <v>198</v>
      </c>
    </row>
    <row r="65" spans="1:22" ht="45.75" x14ac:dyDescent="0.25">
      <c r="A65" s="38">
        <v>5016</v>
      </c>
      <c r="B65" s="38">
        <v>0</v>
      </c>
      <c r="C65" s="38">
        <v>0</v>
      </c>
      <c r="D65" s="39" t="s">
        <v>57</v>
      </c>
      <c r="E65" s="40">
        <v>0</v>
      </c>
      <c r="F65" s="39" t="s">
        <v>99</v>
      </c>
      <c r="G65" s="41">
        <v>0</v>
      </c>
      <c r="H65" s="41">
        <v>0</v>
      </c>
      <c r="I65" s="41">
        <v>5110.25</v>
      </c>
      <c r="J65" s="41">
        <v>0</v>
      </c>
      <c r="K65" s="41">
        <v>300</v>
      </c>
      <c r="L65" s="65">
        <v>150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41">
        <f t="shared" si="9"/>
        <v>5560.25</v>
      </c>
      <c r="T65" s="42">
        <v>1000</v>
      </c>
      <c r="U65" s="50">
        <v>1000</v>
      </c>
      <c r="V65" s="89" t="s">
        <v>223</v>
      </c>
    </row>
    <row r="66" spans="1:22" ht="34.5" x14ac:dyDescent="0.25">
      <c r="A66" s="38">
        <v>5030</v>
      </c>
      <c r="B66" s="38">
        <v>0</v>
      </c>
      <c r="C66" s="38">
        <v>0</v>
      </c>
      <c r="D66" s="39" t="s">
        <v>57</v>
      </c>
      <c r="E66" s="40">
        <v>0</v>
      </c>
      <c r="F66" s="39" t="s">
        <v>100</v>
      </c>
      <c r="G66" s="41">
        <v>-35</v>
      </c>
      <c r="H66" s="41">
        <v>138</v>
      </c>
      <c r="I66" s="41">
        <v>528.29999999999995</v>
      </c>
      <c r="J66" s="41">
        <v>882.68</v>
      </c>
      <c r="K66" s="41">
        <v>907.95</v>
      </c>
      <c r="L66" s="65">
        <v>1635.59</v>
      </c>
      <c r="M66" s="65">
        <v>133.38999999999999</v>
      </c>
      <c r="N66" s="65">
        <v>363.18</v>
      </c>
      <c r="O66" s="65">
        <v>35</v>
      </c>
      <c r="P66" s="65">
        <v>200</v>
      </c>
      <c r="Q66" s="65">
        <v>200</v>
      </c>
      <c r="R66" s="65">
        <v>200</v>
      </c>
      <c r="S66" s="41">
        <f t="shared" si="9"/>
        <v>5189.0900000000011</v>
      </c>
      <c r="T66" s="42">
        <v>4500</v>
      </c>
      <c r="U66" s="50">
        <v>4500</v>
      </c>
      <c r="V66" s="88" t="s">
        <v>220</v>
      </c>
    </row>
    <row r="67" spans="1:22" x14ac:dyDescent="0.25">
      <c r="A67" s="38">
        <v>5032</v>
      </c>
      <c r="B67" s="38">
        <v>0</v>
      </c>
      <c r="C67" s="38">
        <v>0</v>
      </c>
      <c r="D67" s="39" t="s">
        <v>57</v>
      </c>
      <c r="E67" s="40">
        <v>0</v>
      </c>
      <c r="F67" s="39" t="s">
        <v>101</v>
      </c>
      <c r="G67" s="41">
        <v>0</v>
      </c>
      <c r="H67" s="41">
        <v>0</v>
      </c>
      <c r="I67" s="41">
        <v>-177.64</v>
      </c>
      <c r="J67" s="41">
        <v>-495.4</v>
      </c>
      <c r="K67" s="41">
        <v>-258.52999999999997</v>
      </c>
      <c r="L67" s="65">
        <v>-661.21</v>
      </c>
      <c r="M67" s="65">
        <v>-167.5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41">
        <f t="shared" si="9"/>
        <v>-1760.28</v>
      </c>
      <c r="T67" s="42">
        <v>0</v>
      </c>
      <c r="U67" s="50">
        <v>0</v>
      </c>
      <c r="V67" s="94"/>
    </row>
    <row r="68" spans="1:22" x14ac:dyDescent="0.25">
      <c r="A68" s="38">
        <v>5999</v>
      </c>
      <c r="B68" s="38">
        <v>0</v>
      </c>
      <c r="C68" s="38">
        <v>0</v>
      </c>
      <c r="D68" s="39" t="s">
        <v>62</v>
      </c>
      <c r="E68" s="40">
        <v>4</v>
      </c>
      <c r="F68" s="39" t="s">
        <v>102</v>
      </c>
      <c r="G68" s="68">
        <f t="shared" ref="G68:U68" si="10">SUM(G62:G67)</f>
        <v>2782.69</v>
      </c>
      <c r="H68" s="68">
        <f t="shared" si="10"/>
        <v>3025.68</v>
      </c>
      <c r="I68" s="68">
        <f t="shared" si="10"/>
        <v>8241.73</v>
      </c>
      <c r="J68" s="68">
        <f t="shared" si="10"/>
        <v>3284.08</v>
      </c>
      <c r="K68" s="68">
        <f t="shared" si="10"/>
        <v>3995.04</v>
      </c>
      <c r="L68" s="68">
        <f t="shared" si="10"/>
        <v>3750.4799999999996</v>
      </c>
      <c r="M68" s="68">
        <f t="shared" si="10"/>
        <v>2753.63</v>
      </c>
      <c r="N68" s="68">
        <f t="shared" si="10"/>
        <v>2927.5899999999997</v>
      </c>
      <c r="O68" s="68">
        <f t="shared" si="10"/>
        <v>2540.17</v>
      </c>
      <c r="P68" s="68">
        <f t="shared" si="10"/>
        <v>2787.17</v>
      </c>
      <c r="Q68" s="68">
        <f t="shared" si="10"/>
        <v>3433.17</v>
      </c>
      <c r="R68" s="68">
        <f t="shared" si="10"/>
        <v>4347.17</v>
      </c>
      <c r="S68" s="68">
        <f t="shared" si="10"/>
        <v>43868.6</v>
      </c>
      <c r="T68" s="69">
        <f t="shared" si="10"/>
        <v>39687</v>
      </c>
      <c r="U68" s="70">
        <f t="shared" si="10"/>
        <v>40437</v>
      </c>
      <c r="V68" s="67"/>
    </row>
    <row r="69" spans="1:22" x14ac:dyDescent="0.25">
      <c r="A69" s="44"/>
      <c r="B69" s="44"/>
      <c r="C69" s="44"/>
      <c r="D69" s="45"/>
      <c r="E69" s="46"/>
      <c r="F69" s="45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9"/>
      <c r="U69" s="50"/>
      <c r="V69" s="45"/>
    </row>
    <row r="70" spans="1:22" hidden="1" x14ac:dyDescent="0.25">
      <c r="A70" s="44"/>
      <c r="B70" s="44"/>
      <c r="C70" s="44"/>
      <c r="D70" s="45"/>
      <c r="E70" s="46"/>
      <c r="F70" s="45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9"/>
      <c r="U70" s="50"/>
      <c r="V70" s="45"/>
    </row>
    <row r="71" spans="1:22" s="28" customFormat="1" x14ac:dyDescent="0.25">
      <c r="A71" s="58">
        <v>6000</v>
      </c>
      <c r="B71" s="58">
        <v>0</v>
      </c>
      <c r="C71" s="58">
        <v>0</v>
      </c>
      <c r="D71" s="59" t="s">
        <v>55</v>
      </c>
      <c r="E71" s="60">
        <v>0</v>
      </c>
      <c r="F71" s="59" t="s">
        <v>103</v>
      </c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2"/>
      <c r="U71" s="63"/>
      <c r="V71" s="64"/>
    </row>
    <row r="72" spans="1:22" x14ac:dyDescent="0.25">
      <c r="A72" s="38">
        <v>6999</v>
      </c>
      <c r="B72" s="38">
        <v>0</v>
      </c>
      <c r="C72" s="38">
        <v>0</v>
      </c>
      <c r="D72" s="39" t="s">
        <v>62</v>
      </c>
      <c r="E72" s="40">
        <v>4</v>
      </c>
      <c r="F72" s="39" t="s">
        <v>104</v>
      </c>
      <c r="G72" s="68">
        <f t="shared" ref="G72:U72" si="11">SUM(G71:G71)</f>
        <v>0</v>
      </c>
      <c r="H72" s="68">
        <f t="shared" si="11"/>
        <v>0</v>
      </c>
      <c r="I72" s="68">
        <f t="shared" si="11"/>
        <v>0</v>
      </c>
      <c r="J72" s="68">
        <f t="shared" si="11"/>
        <v>0</v>
      </c>
      <c r="K72" s="68">
        <f t="shared" si="11"/>
        <v>0</v>
      </c>
      <c r="L72" s="68">
        <f t="shared" si="11"/>
        <v>0</v>
      </c>
      <c r="M72" s="68">
        <f t="shared" si="11"/>
        <v>0</v>
      </c>
      <c r="N72" s="68">
        <f t="shared" si="11"/>
        <v>0</v>
      </c>
      <c r="O72" s="68">
        <f t="shared" si="11"/>
        <v>0</v>
      </c>
      <c r="P72" s="68">
        <f t="shared" si="11"/>
        <v>0</v>
      </c>
      <c r="Q72" s="68">
        <f t="shared" si="11"/>
        <v>0</v>
      </c>
      <c r="R72" s="68">
        <f t="shared" si="11"/>
        <v>0</v>
      </c>
      <c r="S72" s="68">
        <f t="shared" si="11"/>
        <v>0</v>
      </c>
      <c r="T72" s="69">
        <f t="shared" si="11"/>
        <v>0</v>
      </c>
      <c r="U72" s="70">
        <f t="shared" si="11"/>
        <v>0</v>
      </c>
      <c r="V72" s="67"/>
    </row>
    <row r="73" spans="1:22" x14ac:dyDescent="0.25">
      <c r="A73" s="38">
        <v>8998</v>
      </c>
      <c r="B73" s="38">
        <v>0</v>
      </c>
      <c r="C73" s="38">
        <v>0</v>
      </c>
      <c r="D73" s="39" t="s">
        <v>62</v>
      </c>
      <c r="E73" s="40">
        <v>6</v>
      </c>
      <c r="F73" s="39" t="s">
        <v>105</v>
      </c>
      <c r="G73" s="68">
        <f t="shared" ref="G73:U73" si="12">+G43+G47+G58+G68+G72</f>
        <v>31099.859999999997</v>
      </c>
      <c r="H73" s="68">
        <f t="shared" si="12"/>
        <v>31261.809999999998</v>
      </c>
      <c r="I73" s="68">
        <f t="shared" si="12"/>
        <v>27106.06</v>
      </c>
      <c r="J73" s="68">
        <f t="shared" si="12"/>
        <v>39014.479999999996</v>
      </c>
      <c r="K73" s="68">
        <f t="shared" si="12"/>
        <v>22963.56</v>
      </c>
      <c r="L73" s="68">
        <f t="shared" si="12"/>
        <v>31041.43</v>
      </c>
      <c r="M73" s="68">
        <f t="shared" si="12"/>
        <v>16518.060000000001</v>
      </c>
      <c r="N73" s="68">
        <f t="shared" si="12"/>
        <v>28011.41</v>
      </c>
      <c r="O73" s="68">
        <f t="shared" si="12"/>
        <v>15011.85</v>
      </c>
      <c r="P73" s="68">
        <f t="shared" si="12"/>
        <v>27685.93</v>
      </c>
      <c r="Q73" s="68">
        <f t="shared" si="12"/>
        <v>21060.93</v>
      </c>
      <c r="R73" s="68">
        <f t="shared" si="12"/>
        <v>31516.93</v>
      </c>
      <c r="S73" s="68">
        <f t="shared" si="12"/>
        <v>322292.31</v>
      </c>
      <c r="T73" s="69">
        <f t="shared" si="12"/>
        <v>329184</v>
      </c>
      <c r="U73" s="70">
        <f t="shared" si="12"/>
        <v>328903</v>
      </c>
      <c r="V73" s="67"/>
    </row>
    <row r="74" spans="1:22" x14ac:dyDescent="0.25">
      <c r="A74" s="44"/>
      <c r="B74" s="44"/>
      <c r="C74" s="44"/>
      <c r="D74" s="45"/>
      <c r="E74" s="46"/>
      <c r="F74" s="45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9"/>
      <c r="U74" s="50"/>
      <c r="V74" s="45"/>
    </row>
    <row r="75" spans="1:22" hidden="1" x14ac:dyDescent="0.25">
      <c r="A75" s="44"/>
      <c r="B75" s="44"/>
      <c r="C75" s="44"/>
      <c r="D75" s="45"/>
      <c r="E75" s="46"/>
      <c r="F75" s="45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9"/>
      <c r="U75" s="50"/>
      <c r="V75" s="45"/>
    </row>
    <row r="76" spans="1:22" s="28" customFormat="1" hidden="1" x14ac:dyDescent="0.25">
      <c r="A76" s="58">
        <v>8999</v>
      </c>
      <c r="B76" s="58">
        <v>0</v>
      </c>
      <c r="C76" s="58">
        <v>0</v>
      </c>
      <c r="D76" s="59" t="s">
        <v>55</v>
      </c>
      <c r="E76" s="60">
        <v>0</v>
      </c>
      <c r="F76" s="59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2"/>
      <c r="U76" s="63"/>
      <c r="V76" s="64"/>
    </row>
    <row r="77" spans="1:22" hidden="1" x14ac:dyDescent="0.25">
      <c r="A77" s="44"/>
      <c r="B77" s="44"/>
      <c r="C77" s="44"/>
      <c r="D77" s="45"/>
      <c r="E77" s="46"/>
      <c r="F77" s="45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9"/>
      <c r="U77" s="50"/>
      <c r="V77" s="45"/>
    </row>
    <row r="78" spans="1:22" hidden="1" x14ac:dyDescent="0.25">
      <c r="A78" s="44"/>
      <c r="B78" s="44"/>
      <c r="C78" s="44"/>
      <c r="D78" s="45"/>
      <c r="E78" s="46"/>
      <c r="F78" s="45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9"/>
      <c r="U78" s="50"/>
      <c r="V78" s="45"/>
    </row>
    <row r="79" spans="1:22" s="28" customFormat="1" x14ac:dyDescent="0.25">
      <c r="A79" s="58">
        <v>9000</v>
      </c>
      <c r="B79" s="58">
        <v>0</v>
      </c>
      <c r="C79" s="58">
        <v>0</v>
      </c>
      <c r="D79" s="59" t="s">
        <v>55</v>
      </c>
      <c r="E79" s="60">
        <v>0</v>
      </c>
      <c r="F79" s="59" t="s">
        <v>106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2"/>
      <c r="U79" s="63"/>
      <c r="V79" s="64"/>
    </row>
    <row r="80" spans="1:22" x14ac:dyDescent="0.25">
      <c r="A80" s="38">
        <v>9010</v>
      </c>
      <c r="B80" s="38">
        <v>0</v>
      </c>
      <c r="C80" s="38">
        <v>0</v>
      </c>
      <c r="D80" s="39" t="s">
        <v>57</v>
      </c>
      <c r="E80" s="40">
        <v>0</v>
      </c>
      <c r="F80" s="39" t="s">
        <v>107</v>
      </c>
      <c r="G80" s="41">
        <v>1125</v>
      </c>
      <c r="H80" s="41">
        <v>1125</v>
      </c>
      <c r="I80" s="41">
        <v>1125</v>
      </c>
      <c r="J80" s="41">
        <v>1125</v>
      </c>
      <c r="K80" s="41">
        <v>1125</v>
      </c>
      <c r="L80" s="65">
        <v>1125</v>
      </c>
      <c r="M80" s="65">
        <v>1125</v>
      </c>
      <c r="N80" s="65">
        <v>1125</v>
      </c>
      <c r="O80" s="65">
        <v>1125</v>
      </c>
      <c r="P80" s="65">
        <v>1125</v>
      </c>
      <c r="Q80" s="65">
        <v>1125</v>
      </c>
      <c r="R80" s="65">
        <v>1125</v>
      </c>
      <c r="S80" s="41">
        <f t="shared" ref="S80:S96" si="13">SUM(G80:R80)</f>
        <v>13500</v>
      </c>
      <c r="T80" s="42">
        <v>13500</v>
      </c>
      <c r="U80" s="43">
        <f>LOOKUP(9010,'Proposed Reserve Plan'!A:A,RES_REQFND)</f>
        <v>14828</v>
      </c>
      <c r="V80" s="67"/>
    </row>
    <row r="81" spans="1:22" x14ac:dyDescent="0.25">
      <c r="A81" s="38">
        <v>9020</v>
      </c>
      <c r="B81" s="38">
        <v>0</v>
      </c>
      <c r="C81" s="38">
        <v>0</v>
      </c>
      <c r="D81" s="39" t="s">
        <v>57</v>
      </c>
      <c r="E81" s="40">
        <v>0</v>
      </c>
      <c r="F81" s="39" t="s">
        <v>108</v>
      </c>
      <c r="G81" s="41">
        <v>4666.67</v>
      </c>
      <c r="H81" s="41">
        <v>4666.67</v>
      </c>
      <c r="I81" s="41">
        <v>4666.67</v>
      </c>
      <c r="J81" s="41">
        <v>4666.67</v>
      </c>
      <c r="K81" s="41">
        <v>4666.67</v>
      </c>
      <c r="L81" s="65">
        <v>4666.67</v>
      </c>
      <c r="M81" s="65">
        <v>4666.67</v>
      </c>
      <c r="N81" s="65">
        <v>4666.67</v>
      </c>
      <c r="O81" s="65">
        <v>4666.67</v>
      </c>
      <c r="P81" s="65">
        <v>4666.67</v>
      </c>
      <c r="Q81" s="65">
        <v>4666.67</v>
      </c>
      <c r="R81" s="65">
        <v>4666.67</v>
      </c>
      <c r="S81" s="41">
        <f t="shared" si="13"/>
        <v>56000.039999999986</v>
      </c>
      <c r="T81" s="42">
        <v>56000</v>
      </c>
      <c r="U81" s="43">
        <f>LOOKUP(9020,'Proposed Reserve Plan'!A:A,RES_REQFND)</f>
        <v>141084</v>
      </c>
      <c r="V81" s="67"/>
    </row>
    <row r="82" spans="1:22" x14ac:dyDescent="0.25">
      <c r="A82" s="38">
        <v>9030</v>
      </c>
      <c r="B82" s="38">
        <v>0</v>
      </c>
      <c r="C82" s="38">
        <v>0</v>
      </c>
      <c r="D82" s="39" t="s">
        <v>57</v>
      </c>
      <c r="E82" s="40">
        <v>0</v>
      </c>
      <c r="F82" s="39" t="s">
        <v>109</v>
      </c>
      <c r="G82" s="41">
        <v>83.33</v>
      </c>
      <c r="H82" s="41">
        <v>83.33</v>
      </c>
      <c r="I82" s="41">
        <v>83.33</v>
      </c>
      <c r="J82" s="41">
        <v>83.33</v>
      </c>
      <c r="K82" s="41">
        <v>83.33</v>
      </c>
      <c r="L82" s="65">
        <v>83.33</v>
      </c>
      <c r="M82" s="65">
        <v>83.33</v>
      </c>
      <c r="N82" s="65">
        <v>83.33</v>
      </c>
      <c r="O82" s="65">
        <v>83.33</v>
      </c>
      <c r="P82" s="65">
        <v>83.33</v>
      </c>
      <c r="Q82" s="65">
        <v>83.33</v>
      </c>
      <c r="R82" s="65">
        <v>83.33</v>
      </c>
      <c r="S82" s="41">
        <f t="shared" si="13"/>
        <v>999.96000000000015</v>
      </c>
      <c r="T82" s="42">
        <v>1000</v>
      </c>
      <c r="U82" s="43">
        <f>LOOKUP(9030,'Proposed Reserve Plan'!A:A,RES_REQFND)</f>
        <v>5019</v>
      </c>
      <c r="V82" s="67"/>
    </row>
    <row r="83" spans="1:22" x14ac:dyDescent="0.25">
      <c r="A83" s="38">
        <v>9040</v>
      </c>
      <c r="B83" s="38">
        <v>0</v>
      </c>
      <c r="C83" s="38">
        <v>0</v>
      </c>
      <c r="D83" s="39" t="s">
        <v>57</v>
      </c>
      <c r="E83" s="40">
        <v>0</v>
      </c>
      <c r="F83" s="39" t="s">
        <v>110</v>
      </c>
      <c r="G83" s="41">
        <v>125</v>
      </c>
      <c r="H83" s="41">
        <v>125</v>
      </c>
      <c r="I83" s="41">
        <v>125</v>
      </c>
      <c r="J83" s="41">
        <v>125</v>
      </c>
      <c r="K83" s="41">
        <v>125</v>
      </c>
      <c r="L83" s="65">
        <v>125</v>
      </c>
      <c r="M83" s="65">
        <v>125</v>
      </c>
      <c r="N83" s="65">
        <v>125</v>
      </c>
      <c r="O83" s="65">
        <v>125</v>
      </c>
      <c r="P83" s="65">
        <v>125</v>
      </c>
      <c r="Q83" s="65">
        <v>125</v>
      </c>
      <c r="R83" s="65">
        <v>125</v>
      </c>
      <c r="S83" s="41">
        <f t="shared" si="13"/>
        <v>1500</v>
      </c>
      <c r="T83" s="42">
        <v>1500</v>
      </c>
      <c r="U83" s="43">
        <f>LOOKUP(9040,'Proposed Reserve Plan'!A:A,RES_REQFND)</f>
        <v>2857</v>
      </c>
      <c r="V83" s="67"/>
    </row>
    <row r="84" spans="1:22" x14ac:dyDescent="0.25">
      <c r="A84" s="38">
        <v>9045</v>
      </c>
      <c r="B84" s="38">
        <v>0</v>
      </c>
      <c r="C84" s="38">
        <v>0</v>
      </c>
      <c r="D84" s="39" t="s">
        <v>57</v>
      </c>
      <c r="E84" s="40">
        <v>0</v>
      </c>
      <c r="F84" s="39" t="s">
        <v>111</v>
      </c>
      <c r="G84" s="41">
        <v>416.67</v>
      </c>
      <c r="H84" s="41">
        <v>416.67</v>
      </c>
      <c r="I84" s="41">
        <v>416.67</v>
      </c>
      <c r="J84" s="41">
        <v>416.67</v>
      </c>
      <c r="K84" s="41">
        <v>416.67</v>
      </c>
      <c r="L84" s="65">
        <v>416.67</v>
      </c>
      <c r="M84" s="65">
        <v>416.67</v>
      </c>
      <c r="N84" s="65">
        <v>416.67</v>
      </c>
      <c r="O84" s="65">
        <v>416.67</v>
      </c>
      <c r="P84" s="65">
        <v>416.67</v>
      </c>
      <c r="Q84" s="65">
        <v>416.67</v>
      </c>
      <c r="R84" s="65">
        <v>416.67</v>
      </c>
      <c r="S84" s="41">
        <f t="shared" si="13"/>
        <v>5000.04</v>
      </c>
      <c r="T84" s="42">
        <v>5000</v>
      </c>
      <c r="U84" s="43">
        <f>LOOKUP(9045,'Proposed Reserve Plan'!A:A,RES_REQFND)</f>
        <v>7582</v>
      </c>
      <c r="V84" s="67"/>
    </row>
    <row r="85" spans="1:22" x14ac:dyDescent="0.25">
      <c r="A85" s="38">
        <v>9050</v>
      </c>
      <c r="B85" s="38">
        <v>0</v>
      </c>
      <c r="C85" s="38">
        <v>0</v>
      </c>
      <c r="D85" s="39" t="s">
        <v>57</v>
      </c>
      <c r="E85" s="40">
        <v>0</v>
      </c>
      <c r="F85" s="39" t="s">
        <v>112</v>
      </c>
      <c r="G85" s="41">
        <v>41.67</v>
      </c>
      <c r="H85" s="41">
        <v>41.67</v>
      </c>
      <c r="I85" s="41">
        <v>41.67</v>
      </c>
      <c r="J85" s="41">
        <v>41.67</v>
      </c>
      <c r="K85" s="41">
        <v>41.67</v>
      </c>
      <c r="L85" s="65">
        <v>41.67</v>
      </c>
      <c r="M85" s="65">
        <v>41.67</v>
      </c>
      <c r="N85" s="65">
        <v>41.67</v>
      </c>
      <c r="O85" s="65">
        <v>41.67</v>
      </c>
      <c r="P85" s="65">
        <v>41.67</v>
      </c>
      <c r="Q85" s="65">
        <v>41.67</v>
      </c>
      <c r="R85" s="65">
        <v>41.67</v>
      </c>
      <c r="S85" s="41">
        <f t="shared" si="13"/>
        <v>500.04000000000013</v>
      </c>
      <c r="T85" s="42">
        <v>500</v>
      </c>
      <c r="U85" s="43">
        <f>LOOKUP(9050,'Proposed Reserve Plan'!A:A,RES_REQFND)</f>
        <v>17794</v>
      </c>
      <c r="V85" s="67"/>
    </row>
    <row r="86" spans="1:22" x14ac:dyDescent="0.25">
      <c r="A86" s="38">
        <v>9051</v>
      </c>
      <c r="B86" s="38">
        <v>0</v>
      </c>
      <c r="C86" s="38">
        <v>0</v>
      </c>
      <c r="D86" s="39" t="s">
        <v>57</v>
      </c>
      <c r="E86" s="40">
        <v>0</v>
      </c>
      <c r="F86" s="39" t="s">
        <v>113</v>
      </c>
      <c r="G86" s="41">
        <v>41.67</v>
      </c>
      <c r="H86" s="41">
        <v>41.67</v>
      </c>
      <c r="I86" s="41">
        <v>41.67</v>
      </c>
      <c r="J86" s="41">
        <v>41.67</v>
      </c>
      <c r="K86" s="41">
        <v>41.67</v>
      </c>
      <c r="L86" s="65">
        <v>41.67</v>
      </c>
      <c r="M86" s="65">
        <v>41.67</v>
      </c>
      <c r="N86" s="65">
        <v>41.67</v>
      </c>
      <c r="O86" s="65">
        <v>41.67</v>
      </c>
      <c r="P86" s="65">
        <v>41.67</v>
      </c>
      <c r="Q86" s="65">
        <v>41.67</v>
      </c>
      <c r="R86" s="65">
        <v>41.67</v>
      </c>
      <c r="S86" s="41">
        <f t="shared" si="13"/>
        <v>500.04000000000013</v>
      </c>
      <c r="T86" s="42">
        <v>500</v>
      </c>
      <c r="U86" s="43">
        <f>LOOKUP(9051,'Proposed Reserve Plan'!A:A,RES_REQFND)</f>
        <v>2284</v>
      </c>
      <c r="V86" s="67"/>
    </row>
    <row r="87" spans="1:22" x14ac:dyDescent="0.25">
      <c r="A87" s="38">
        <v>9052</v>
      </c>
      <c r="B87" s="38">
        <v>0</v>
      </c>
      <c r="C87" s="38">
        <v>0</v>
      </c>
      <c r="D87" s="39" t="s">
        <v>57</v>
      </c>
      <c r="E87" s="40">
        <v>0</v>
      </c>
      <c r="F87" s="39" t="s">
        <v>114</v>
      </c>
      <c r="G87" s="41">
        <v>59.83</v>
      </c>
      <c r="H87" s="41">
        <v>59.83</v>
      </c>
      <c r="I87" s="41">
        <v>59.83</v>
      </c>
      <c r="J87" s="41">
        <v>59.83</v>
      </c>
      <c r="K87" s="41">
        <v>59.83</v>
      </c>
      <c r="L87" s="65">
        <v>59.83</v>
      </c>
      <c r="M87" s="65">
        <v>59.83</v>
      </c>
      <c r="N87" s="65">
        <v>59.83</v>
      </c>
      <c r="O87" s="65">
        <v>59.83</v>
      </c>
      <c r="P87" s="65">
        <v>59.83</v>
      </c>
      <c r="Q87" s="65">
        <v>59.83</v>
      </c>
      <c r="R87" s="65">
        <v>59.83</v>
      </c>
      <c r="S87" s="41">
        <f t="shared" si="13"/>
        <v>717.96</v>
      </c>
      <c r="T87" s="42">
        <v>718</v>
      </c>
      <c r="U87" s="43">
        <f>LOOKUP(9052,'Proposed Reserve Plan'!A:A,RES_REQFND)</f>
        <v>7327</v>
      </c>
      <c r="V87" s="67"/>
    </row>
    <row r="88" spans="1:22" x14ac:dyDescent="0.25">
      <c r="A88" s="38">
        <v>9056</v>
      </c>
      <c r="B88" s="38">
        <v>0</v>
      </c>
      <c r="C88" s="38">
        <v>0</v>
      </c>
      <c r="D88" s="39" t="s">
        <v>57</v>
      </c>
      <c r="E88" s="40">
        <v>0</v>
      </c>
      <c r="F88" s="39" t="s">
        <v>115</v>
      </c>
      <c r="G88" s="41">
        <v>41.67</v>
      </c>
      <c r="H88" s="41">
        <v>41.67</v>
      </c>
      <c r="I88" s="41">
        <v>41.67</v>
      </c>
      <c r="J88" s="41">
        <v>41.67</v>
      </c>
      <c r="K88" s="41">
        <v>41.67</v>
      </c>
      <c r="L88" s="65">
        <v>41.67</v>
      </c>
      <c r="M88" s="65">
        <v>41.67</v>
      </c>
      <c r="N88" s="65">
        <v>41.67</v>
      </c>
      <c r="O88" s="65">
        <v>41.67</v>
      </c>
      <c r="P88" s="65">
        <v>41.67</v>
      </c>
      <c r="Q88" s="65">
        <v>41.67</v>
      </c>
      <c r="R88" s="65">
        <v>41.67</v>
      </c>
      <c r="S88" s="41">
        <f t="shared" si="13"/>
        <v>500.04000000000013</v>
      </c>
      <c r="T88" s="42">
        <v>500</v>
      </c>
      <c r="U88" s="43">
        <f>LOOKUP(9056,'Proposed Reserve Plan'!A:A,RES_REQFND)</f>
        <v>10886</v>
      </c>
      <c r="V88" s="67"/>
    </row>
    <row r="89" spans="1:22" x14ac:dyDescent="0.25">
      <c r="A89" s="38">
        <v>9058</v>
      </c>
      <c r="B89" s="38">
        <v>0</v>
      </c>
      <c r="C89" s="38">
        <v>0</v>
      </c>
      <c r="D89" s="39" t="s">
        <v>57</v>
      </c>
      <c r="E89" s="40">
        <v>0</v>
      </c>
      <c r="F89" s="39" t="s">
        <v>116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41">
        <f t="shared" si="13"/>
        <v>0</v>
      </c>
      <c r="T89" s="42">
        <v>0</v>
      </c>
      <c r="U89" s="43">
        <f>LOOKUP(9058,'Proposed Reserve Plan'!A:A,RES_REQFND)</f>
        <v>0</v>
      </c>
      <c r="V89" s="67"/>
    </row>
    <row r="90" spans="1:22" x14ac:dyDescent="0.25">
      <c r="A90" s="38">
        <v>9064</v>
      </c>
      <c r="B90" s="38">
        <v>0</v>
      </c>
      <c r="C90" s="38">
        <v>0</v>
      </c>
      <c r="D90" s="39" t="s">
        <v>57</v>
      </c>
      <c r="E90" s="40">
        <v>0</v>
      </c>
      <c r="F90" s="39" t="s">
        <v>117</v>
      </c>
      <c r="G90" s="41">
        <v>41.67</v>
      </c>
      <c r="H90" s="41">
        <v>41.67</v>
      </c>
      <c r="I90" s="41">
        <v>41.67</v>
      </c>
      <c r="J90" s="41">
        <v>41.67</v>
      </c>
      <c r="K90" s="41">
        <v>41.67</v>
      </c>
      <c r="L90" s="65">
        <v>41.67</v>
      </c>
      <c r="M90" s="65">
        <v>41.67</v>
      </c>
      <c r="N90" s="65">
        <v>41.67</v>
      </c>
      <c r="O90" s="65">
        <v>41.67</v>
      </c>
      <c r="P90" s="65">
        <v>41.67</v>
      </c>
      <c r="Q90" s="65">
        <v>41.67</v>
      </c>
      <c r="R90" s="65">
        <v>41.67</v>
      </c>
      <c r="S90" s="41">
        <f t="shared" si="13"/>
        <v>500.04000000000013</v>
      </c>
      <c r="T90" s="42">
        <v>500</v>
      </c>
      <c r="U90" s="43">
        <f>LOOKUP(9064,'Proposed Reserve Plan'!A:A,RES_REQFND)</f>
        <v>9801</v>
      </c>
      <c r="V90" s="67"/>
    </row>
    <row r="91" spans="1:22" x14ac:dyDescent="0.25">
      <c r="A91" s="38">
        <v>9073</v>
      </c>
      <c r="B91" s="38">
        <v>0</v>
      </c>
      <c r="C91" s="38">
        <v>0</v>
      </c>
      <c r="D91" s="39" t="s">
        <v>57</v>
      </c>
      <c r="E91" s="40">
        <v>0</v>
      </c>
      <c r="F91" s="39" t="s">
        <v>118</v>
      </c>
      <c r="G91" s="41">
        <v>83.33</v>
      </c>
      <c r="H91" s="41">
        <v>83.33</v>
      </c>
      <c r="I91" s="41">
        <v>83.33</v>
      </c>
      <c r="J91" s="41">
        <v>83.33</v>
      </c>
      <c r="K91" s="41">
        <v>83.33</v>
      </c>
      <c r="L91" s="65">
        <v>83.33</v>
      </c>
      <c r="M91" s="65">
        <v>83.33</v>
      </c>
      <c r="N91" s="65">
        <v>83.33</v>
      </c>
      <c r="O91" s="65">
        <v>83.33</v>
      </c>
      <c r="P91" s="65">
        <v>83.33</v>
      </c>
      <c r="Q91" s="65">
        <v>83.33</v>
      </c>
      <c r="R91" s="65">
        <v>83.33</v>
      </c>
      <c r="S91" s="41">
        <f t="shared" si="13"/>
        <v>999.96000000000015</v>
      </c>
      <c r="T91" s="42">
        <v>1000</v>
      </c>
      <c r="U91" s="43">
        <f>LOOKUP(9073,'Proposed Reserve Plan'!A:A,RES_REQFND)</f>
        <v>5288</v>
      </c>
      <c r="V91" s="67"/>
    </row>
    <row r="92" spans="1:22" x14ac:dyDescent="0.25">
      <c r="A92" s="38">
        <v>9074</v>
      </c>
      <c r="B92" s="38">
        <v>0</v>
      </c>
      <c r="C92" s="38">
        <v>0</v>
      </c>
      <c r="D92" s="39" t="s">
        <v>57</v>
      </c>
      <c r="E92" s="40">
        <v>0</v>
      </c>
      <c r="F92" s="39" t="s">
        <v>119</v>
      </c>
      <c r="G92" s="41">
        <v>625</v>
      </c>
      <c r="H92" s="41">
        <v>625</v>
      </c>
      <c r="I92" s="41">
        <v>625</v>
      </c>
      <c r="J92" s="41">
        <v>625</v>
      </c>
      <c r="K92" s="41">
        <v>625</v>
      </c>
      <c r="L92" s="65">
        <v>625</v>
      </c>
      <c r="M92" s="65">
        <v>625</v>
      </c>
      <c r="N92" s="65">
        <v>625</v>
      </c>
      <c r="O92" s="65">
        <v>625</v>
      </c>
      <c r="P92" s="65">
        <v>625</v>
      </c>
      <c r="Q92" s="65">
        <v>625</v>
      </c>
      <c r="R92" s="65">
        <v>625</v>
      </c>
      <c r="S92" s="41">
        <f t="shared" si="13"/>
        <v>7500</v>
      </c>
      <c r="T92" s="42">
        <v>7500</v>
      </c>
      <c r="U92" s="43">
        <f>LOOKUP(9074,'Proposed Reserve Plan'!A:A,RES_REQFND)</f>
        <v>5860</v>
      </c>
      <c r="V92" s="67"/>
    </row>
    <row r="93" spans="1:22" x14ac:dyDescent="0.25">
      <c r="A93" s="38">
        <v>9075</v>
      </c>
      <c r="B93" s="38">
        <v>0</v>
      </c>
      <c r="C93" s="38">
        <v>0</v>
      </c>
      <c r="D93" s="39" t="s">
        <v>57</v>
      </c>
      <c r="E93" s="40">
        <v>0</v>
      </c>
      <c r="F93" s="39" t="s">
        <v>120</v>
      </c>
      <c r="G93" s="41">
        <v>8858.32</v>
      </c>
      <c r="H93" s="41">
        <v>8858.32</v>
      </c>
      <c r="I93" s="41">
        <v>8858.32</v>
      </c>
      <c r="J93" s="41">
        <v>8858.32</v>
      </c>
      <c r="K93" s="41">
        <v>8858.32</v>
      </c>
      <c r="L93" s="65">
        <v>8858.32</v>
      </c>
      <c r="M93" s="65">
        <v>8858.32</v>
      </c>
      <c r="N93" s="65">
        <v>8858.32</v>
      </c>
      <c r="O93" s="65">
        <v>8858.32</v>
      </c>
      <c r="P93" s="65">
        <v>8858.32</v>
      </c>
      <c r="Q93" s="65">
        <v>8858.32</v>
      </c>
      <c r="R93" s="65">
        <v>8858.32</v>
      </c>
      <c r="S93" s="41">
        <f t="shared" si="13"/>
        <v>106299.84000000003</v>
      </c>
      <c r="T93" s="42">
        <v>106300</v>
      </c>
      <c r="U93" s="43">
        <f>LOOKUP(9075,'Proposed Reserve Plan'!A:A,RES_REQFND)</f>
        <v>106804</v>
      </c>
      <c r="V93" s="67"/>
    </row>
    <row r="94" spans="1:22" x14ac:dyDescent="0.25">
      <c r="A94" s="38">
        <v>9078</v>
      </c>
      <c r="B94" s="38">
        <v>0</v>
      </c>
      <c r="C94" s="38">
        <v>0</v>
      </c>
      <c r="D94" s="39" t="s">
        <v>57</v>
      </c>
      <c r="E94" s="40">
        <v>0</v>
      </c>
      <c r="F94" s="39" t="s">
        <v>121</v>
      </c>
      <c r="G94" s="41">
        <v>41.67</v>
      </c>
      <c r="H94" s="41">
        <v>41.67</v>
      </c>
      <c r="I94" s="41">
        <v>41.67</v>
      </c>
      <c r="J94" s="41">
        <v>41.67</v>
      </c>
      <c r="K94" s="41">
        <v>41.67</v>
      </c>
      <c r="L94" s="65">
        <v>41.67</v>
      </c>
      <c r="M94" s="65">
        <v>41.67</v>
      </c>
      <c r="N94" s="65">
        <v>41.67</v>
      </c>
      <c r="O94" s="65">
        <v>41.67</v>
      </c>
      <c r="P94" s="65">
        <v>41.67</v>
      </c>
      <c r="Q94" s="65">
        <v>41.67</v>
      </c>
      <c r="R94" s="65">
        <v>41.67</v>
      </c>
      <c r="S94" s="41">
        <f t="shared" si="13"/>
        <v>500.04000000000013</v>
      </c>
      <c r="T94" s="42">
        <v>500</v>
      </c>
      <c r="U94" s="43">
        <f>LOOKUP(9078,'Proposed Reserve Plan'!A:A,RES_REQFND)</f>
        <v>23631</v>
      </c>
      <c r="V94" s="67"/>
    </row>
    <row r="95" spans="1:22" x14ac:dyDescent="0.25">
      <c r="A95" s="38">
        <v>9090</v>
      </c>
      <c r="B95" s="38">
        <v>0</v>
      </c>
      <c r="C95" s="38">
        <v>0</v>
      </c>
      <c r="D95" s="39" t="s">
        <v>57</v>
      </c>
      <c r="E95" s="40">
        <v>0</v>
      </c>
      <c r="F95" s="39" t="s">
        <v>122</v>
      </c>
      <c r="G95" s="41">
        <v>2207.25</v>
      </c>
      <c r="H95" s="41">
        <v>2207.25</v>
      </c>
      <c r="I95" s="41">
        <v>2207.25</v>
      </c>
      <c r="J95" s="41">
        <v>2207.25</v>
      </c>
      <c r="K95" s="41">
        <v>2207.25</v>
      </c>
      <c r="L95" s="65">
        <v>2207.25</v>
      </c>
      <c r="M95" s="65">
        <v>2207.25</v>
      </c>
      <c r="N95" s="65">
        <v>2207.25</v>
      </c>
      <c r="O95" s="65">
        <v>2207.25</v>
      </c>
      <c r="P95" s="65">
        <v>2207.25</v>
      </c>
      <c r="Q95" s="65">
        <v>2207.25</v>
      </c>
      <c r="R95" s="65">
        <v>2207.25</v>
      </c>
      <c r="S95" s="41">
        <f t="shared" si="13"/>
        <v>26487</v>
      </c>
      <c r="T95" s="42">
        <v>26487</v>
      </c>
      <c r="U95" s="43">
        <f>LOOKUP(9090,'Proposed Reserve Plan'!A:A,RES_REQFND)</f>
        <v>49721</v>
      </c>
      <c r="V95" s="67"/>
    </row>
    <row r="96" spans="1:22" x14ac:dyDescent="0.25">
      <c r="A96" s="38">
        <v>9095</v>
      </c>
      <c r="B96" s="38">
        <v>0</v>
      </c>
      <c r="C96" s="38">
        <v>0</v>
      </c>
      <c r="D96" s="39" t="s">
        <v>57</v>
      </c>
      <c r="E96" s="40">
        <v>0</v>
      </c>
      <c r="F96" s="39" t="s">
        <v>123</v>
      </c>
      <c r="G96" s="41">
        <v>132.18</v>
      </c>
      <c r="H96" s="41">
        <v>158.38999999999999</v>
      </c>
      <c r="I96" s="41">
        <v>150.69999999999999</v>
      </c>
      <c r="J96" s="41">
        <v>174.45</v>
      </c>
      <c r="K96" s="41">
        <v>170.38</v>
      </c>
      <c r="L96" s="65">
        <v>165.11</v>
      </c>
      <c r="M96" s="65">
        <v>152.04</v>
      </c>
      <c r="N96" s="65">
        <v>146.09</v>
      </c>
      <c r="O96" s="65">
        <v>137.44</v>
      </c>
      <c r="P96" s="65">
        <f t="shared" ref="P96" si="14">SUM(G96:O96)/9</f>
        <v>154.08666666666667</v>
      </c>
      <c r="Q96" s="65">
        <f t="shared" ref="Q96" si="15">SUM(G96:P96)/10</f>
        <v>154.08666666666664</v>
      </c>
      <c r="R96" s="65">
        <f t="shared" ref="R96" si="16">SUM(G96:Q96)/11</f>
        <v>154.08666666666664</v>
      </c>
      <c r="S96" s="41">
        <f t="shared" si="13"/>
        <v>1849.0399999999997</v>
      </c>
      <c r="T96" s="42">
        <v>0</v>
      </c>
      <c r="U96" s="43">
        <f>LOOKUP(9095,'Proposed Reserve Plan'!A:A,RES_REQFND)</f>
        <v>0</v>
      </c>
      <c r="V96" s="67"/>
    </row>
    <row r="97" spans="1:22" x14ac:dyDescent="0.25">
      <c r="A97" s="38">
        <v>9999</v>
      </c>
      <c r="B97" s="38">
        <v>0</v>
      </c>
      <c r="C97" s="38">
        <v>0</v>
      </c>
      <c r="D97" s="39" t="s">
        <v>62</v>
      </c>
      <c r="E97" s="40">
        <v>4</v>
      </c>
      <c r="F97" s="39" t="s">
        <v>124</v>
      </c>
      <c r="G97" s="68">
        <f t="shared" ref="G97:U97" si="17">SUM(G80:G96)</f>
        <v>18590.93</v>
      </c>
      <c r="H97" s="68">
        <f t="shared" si="17"/>
        <v>18617.14</v>
      </c>
      <c r="I97" s="68">
        <f t="shared" si="17"/>
        <v>18609.45</v>
      </c>
      <c r="J97" s="68">
        <f t="shared" si="17"/>
        <v>18633.2</v>
      </c>
      <c r="K97" s="68">
        <f t="shared" si="17"/>
        <v>18629.13</v>
      </c>
      <c r="L97" s="68">
        <f t="shared" si="17"/>
        <v>18623.86</v>
      </c>
      <c r="M97" s="68">
        <f t="shared" si="17"/>
        <v>18610.79</v>
      </c>
      <c r="N97" s="68">
        <f t="shared" si="17"/>
        <v>18604.84</v>
      </c>
      <c r="O97" s="68">
        <f t="shared" si="17"/>
        <v>18596.189999999999</v>
      </c>
      <c r="P97" s="68">
        <f t="shared" si="17"/>
        <v>18612.836666666666</v>
      </c>
      <c r="Q97" s="68">
        <f t="shared" si="17"/>
        <v>18612.836666666666</v>
      </c>
      <c r="R97" s="68">
        <f t="shared" si="17"/>
        <v>18612.836666666666</v>
      </c>
      <c r="S97" s="68">
        <f t="shared" si="17"/>
        <v>223354.04</v>
      </c>
      <c r="T97" s="69">
        <f t="shared" si="17"/>
        <v>221505</v>
      </c>
      <c r="U97" s="70">
        <f t="shared" si="17"/>
        <v>410766</v>
      </c>
      <c r="V97" s="67"/>
    </row>
    <row r="98" spans="1:22" x14ac:dyDescent="0.25">
      <c r="A98" s="38">
        <v>10999</v>
      </c>
      <c r="B98" s="38">
        <v>0</v>
      </c>
      <c r="C98" s="38">
        <v>0</v>
      </c>
      <c r="D98" s="39" t="s">
        <v>62</v>
      </c>
      <c r="E98" s="40">
        <v>7</v>
      </c>
      <c r="F98" s="39" t="s">
        <v>125</v>
      </c>
      <c r="G98" s="68">
        <f t="shared" ref="G98:U98" si="18">+G73+G97</f>
        <v>49690.789999999994</v>
      </c>
      <c r="H98" s="68">
        <f t="shared" si="18"/>
        <v>49878.95</v>
      </c>
      <c r="I98" s="68">
        <f t="shared" si="18"/>
        <v>45715.51</v>
      </c>
      <c r="J98" s="68">
        <f t="shared" si="18"/>
        <v>57647.679999999993</v>
      </c>
      <c r="K98" s="68">
        <f t="shared" si="18"/>
        <v>41592.69</v>
      </c>
      <c r="L98" s="68">
        <f t="shared" si="18"/>
        <v>49665.29</v>
      </c>
      <c r="M98" s="68">
        <f t="shared" si="18"/>
        <v>35128.850000000006</v>
      </c>
      <c r="N98" s="68">
        <f t="shared" si="18"/>
        <v>46616.25</v>
      </c>
      <c r="O98" s="68">
        <f t="shared" si="18"/>
        <v>33608.04</v>
      </c>
      <c r="P98" s="68">
        <f t="shared" si="18"/>
        <v>46298.766666666663</v>
      </c>
      <c r="Q98" s="68">
        <f t="shared" si="18"/>
        <v>39673.766666666663</v>
      </c>
      <c r="R98" s="68">
        <f t="shared" si="18"/>
        <v>50129.766666666663</v>
      </c>
      <c r="S98" s="68">
        <f t="shared" si="18"/>
        <v>545646.35</v>
      </c>
      <c r="T98" s="69">
        <f t="shared" si="18"/>
        <v>550689</v>
      </c>
      <c r="U98" s="70">
        <f t="shared" si="18"/>
        <v>739669</v>
      </c>
      <c r="V98" s="67"/>
    </row>
    <row r="99" spans="1:22" x14ac:dyDescent="0.25">
      <c r="A99" s="38">
        <v>11000</v>
      </c>
      <c r="B99" s="38">
        <v>0</v>
      </c>
      <c r="C99" s="38">
        <v>0</v>
      </c>
      <c r="D99" s="39" t="s">
        <v>62</v>
      </c>
      <c r="E99" s="40">
        <v>8</v>
      </c>
      <c r="F99" s="39" t="s">
        <v>126</v>
      </c>
      <c r="G99" s="68">
        <f t="shared" ref="G99:U99" si="19">+G19-G98</f>
        <v>-3636.3399999999965</v>
      </c>
      <c r="H99" s="68">
        <f t="shared" si="19"/>
        <v>-3982.2200000000012</v>
      </c>
      <c r="I99" s="68">
        <f t="shared" si="19"/>
        <v>958.0399999999936</v>
      </c>
      <c r="J99" s="68">
        <f t="shared" si="19"/>
        <v>-11731.589999999997</v>
      </c>
      <c r="K99" s="68">
        <f t="shared" si="19"/>
        <v>4422.0299999999916</v>
      </c>
      <c r="L99" s="68">
        <f t="shared" si="19"/>
        <v>-3769.5699999999997</v>
      </c>
      <c r="M99" s="68">
        <f t="shared" si="19"/>
        <v>10756.789999999994</v>
      </c>
      <c r="N99" s="68">
        <f t="shared" si="19"/>
        <v>-424.77000000000407</v>
      </c>
      <c r="O99" s="68">
        <f t="shared" si="19"/>
        <v>12263.020000000004</v>
      </c>
      <c r="P99" s="68">
        <f t="shared" si="19"/>
        <v>-411.93999999999505</v>
      </c>
      <c r="Q99" s="68">
        <f t="shared" si="19"/>
        <v>6213.0600000000049</v>
      </c>
      <c r="R99" s="68">
        <f t="shared" si="19"/>
        <v>-4242.9399999999951</v>
      </c>
      <c r="S99" s="68">
        <f t="shared" si="19"/>
        <v>6413.5700000000652</v>
      </c>
      <c r="T99" s="69">
        <f t="shared" si="19"/>
        <v>0</v>
      </c>
      <c r="U99" s="70">
        <f t="shared" si="19"/>
        <v>0</v>
      </c>
      <c r="V99" s="67"/>
    </row>
    <row r="100" spans="1:22" x14ac:dyDescent="0.25">
      <c r="A100" s="44"/>
      <c r="B100" s="44"/>
      <c r="C100" s="44"/>
      <c r="D100" s="45"/>
      <c r="E100" s="46"/>
      <c r="F100" s="45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9"/>
      <c r="U100" s="50"/>
      <c r="V100" s="45"/>
    </row>
    <row r="101" spans="1:22" x14ac:dyDescent="0.25">
      <c r="A101" s="44"/>
      <c r="B101" s="44"/>
      <c r="C101" s="44"/>
      <c r="D101" s="45"/>
      <c r="E101" s="46"/>
      <c r="F101" s="45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9"/>
      <c r="U101" s="50"/>
      <c r="V101" s="45"/>
    </row>
    <row r="102" spans="1:22" s="28" customFormat="1" x14ac:dyDescent="0.25">
      <c r="A102" s="58">
        <v>19999</v>
      </c>
      <c r="B102" s="58">
        <v>0</v>
      </c>
      <c r="C102" s="58">
        <v>0</v>
      </c>
      <c r="D102" s="59" t="s">
        <v>55</v>
      </c>
      <c r="E102" s="60">
        <v>0</v>
      </c>
      <c r="F102" s="59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2"/>
      <c r="U102" s="63"/>
      <c r="V102" s="64"/>
    </row>
  </sheetData>
  <pageMargins left="0.7" right="0.7" top="0.75" bottom="0.75" header="0.3" footer="0.3"/>
  <pageSetup paperSize="5" scale="61" fitToHeight="0" orientation="landscape" r:id="rId1"/>
  <headerFooter>
    <oddHeader>&amp;L&amp;F&amp;R&amp;D &amp;T Page &amp;P</oddHeader>
  </headerFooter>
  <rowBreaks count="2" manualBreakCount="2">
    <brk id="43" max="16383" man="1"/>
    <brk id="68" max="16383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F87" workbookViewId="0">
      <selection activeCell="F108" sqref="A108:XFD110"/>
    </sheetView>
  </sheetViews>
  <sheetFormatPr defaultRowHeight="15" x14ac:dyDescent="0.25"/>
  <cols>
    <col min="1" max="3" width="0" style="2" hidden="1" customWidth="1"/>
    <col min="4" max="4" width="0" style="4" hidden="1" customWidth="1"/>
    <col min="5" max="5" width="0" style="7" hidden="1" customWidth="1"/>
    <col min="6" max="6" width="31.5703125" style="4" bestFit="1" customWidth="1"/>
    <col min="7" max="8" width="10.5703125" style="16" bestFit="1" customWidth="1"/>
    <col min="9" max="9" width="12.7109375" style="16" customWidth="1"/>
    <col min="10" max="10" width="13.140625" style="16" customWidth="1"/>
    <col min="11" max="11" width="10" style="18" customWidth="1"/>
  </cols>
  <sheetData>
    <row r="1" spans="1:11" hidden="1" x14ac:dyDescent="0.25">
      <c r="A1" s="1" t="s">
        <v>0</v>
      </c>
      <c r="B1" s="1" t="s">
        <v>1</v>
      </c>
      <c r="C1" s="1" t="s">
        <v>2</v>
      </c>
      <c r="D1" s="3" t="s">
        <v>3</v>
      </c>
      <c r="E1" s="6" t="s">
        <v>4</v>
      </c>
      <c r="F1" s="3" t="s">
        <v>5</v>
      </c>
      <c r="G1" s="15" t="s">
        <v>15</v>
      </c>
      <c r="H1" s="15" t="s">
        <v>16</v>
      </c>
      <c r="I1" s="15" t="s">
        <v>17</v>
      </c>
      <c r="J1" s="15" t="s">
        <v>18</v>
      </c>
      <c r="K1" s="17" t="s">
        <v>19</v>
      </c>
    </row>
    <row r="2" spans="1:11" x14ac:dyDescent="0.25">
      <c r="F2" s="8" t="s">
        <v>7</v>
      </c>
      <c r="G2" s="98" t="s">
        <v>20</v>
      </c>
      <c r="H2" s="98"/>
      <c r="I2" s="98"/>
      <c r="J2" s="98"/>
      <c r="K2" s="98"/>
    </row>
    <row r="3" spans="1:11" x14ac:dyDescent="0.25">
      <c r="F3" s="8" t="s">
        <v>8</v>
      </c>
    </row>
    <row r="4" spans="1:11" x14ac:dyDescent="0.25">
      <c r="F4" s="8" t="s">
        <v>9</v>
      </c>
      <c r="G4" s="98" t="s">
        <v>21</v>
      </c>
      <c r="H4" s="98"/>
      <c r="I4" s="98"/>
      <c r="J4" s="98"/>
      <c r="K4" s="98"/>
    </row>
    <row r="5" spans="1:11" ht="60" x14ac:dyDescent="0.25">
      <c r="A5" s="12" t="s">
        <v>10</v>
      </c>
      <c r="B5" s="12" t="s">
        <v>11</v>
      </c>
      <c r="C5" s="12" t="s">
        <v>12</v>
      </c>
      <c r="D5" s="13" t="s">
        <v>13</v>
      </c>
      <c r="E5" s="14" t="s">
        <v>14</v>
      </c>
      <c r="F5" s="13"/>
      <c r="G5" s="19" t="s">
        <v>22</v>
      </c>
      <c r="H5" s="19" t="s">
        <v>23</v>
      </c>
      <c r="I5" s="19" t="s">
        <v>24</v>
      </c>
      <c r="J5" s="19" t="s">
        <v>25</v>
      </c>
      <c r="K5" s="20" t="s">
        <v>26</v>
      </c>
    </row>
    <row r="7" spans="1:11" s="28" customFormat="1" x14ac:dyDescent="0.25">
      <c r="A7" s="29">
        <v>1000</v>
      </c>
      <c r="B7" s="29">
        <v>0</v>
      </c>
      <c r="C7" s="29">
        <v>0</v>
      </c>
      <c r="D7" s="30" t="s">
        <v>55</v>
      </c>
      <c r="E7" s="31">
        <v>0</v>
      </c>
      <c r="F7" s="30" t="s">
        <v>56</v>
      </c>
      <c r="G7" s="32"/>
      <c r="H7" s="26"/>
      <c r="I7" s="26"/>
      <c r="J7" s="26"/>
      <c r="K7" s="27"/>
    </row>
    <row r="9" spans="1:11" x14ac:dyDescent="0.25">
      <c r="A9" s="1">
        <v>1010</v>
      </c>
      <c r="B9" s="1">
        <v>0</v>
      </c>
      <c r="C9" s="1">
        <v>0</v>
      </c>
      <c r="D9" s="3" t="s">
        <v>57</v>
      </c>
      <c r="E9" s="6">
        <v>0</v>
      </c>
      <c r="F9" s="3" t="s">
        <v>58</v>
      </c>
      <c r="G9" s="15">
        <v>550689</v>
      </c>
      <c r="H9" s="15">
        <f>'Current Year Monthly'!S9</f>
        <v>548424</v>
      </c>
      <c r="I9" s="34">
        <f>SUM(I98-I10-I11-I12-I17)</f>
        <v>580621</v>
      </c>
      <c r="J9" s="15">
        <f>'Current Year Monthly'!U9</f>
        <v>739669</v>
      </c>
      <c r="K9" s="17">
        <f>IF(G9&lt;&gt;0,(J9-G9)/G9,IF(J9&lt;&gt;0,1,0))</f>
        <v>0.3431701014547231</v>
      </c>
    </row>
    <row r="10" spans="1:11" x14ac:dyDescent="0.25">
      <c r="A10" s="1">
        <v>1040</v>
      </c>
      <c r="B10" s="1">
        <v>0</v>
      </c>
      <c r="C10" s="1">
        <v>0</v>
      </c>
      <c r="D10" s="3" t="s">
        <v>57</v>
      </c>
      <c r="E10" s="6">
        <v>0</v>
      </c>
      <c r="F10" s="3" t="s">
        <v>59</v>
      </c>
      <c r="G10" s="15">
        <v>0</v>
      </c>
      <c r="H10" s="15">
        <f>'Current Year Monthly'!S10</f>
        <v>665</v>
      </c>
      <c r="I10" s="15">
        <f>J10</f>
        <v>0</v>
      </c>
      <c r="J10" s="15">
        <f>'Current Year Monthly'!U10</f>
        <v>0</v>
      </c>
      <c r="K10" s="17">
        <f>IF(G10&lt;&gt;0,(J10-G10)/G10,IF(J10&lt;&gt;0,1,0))</f>
        <v>0</v>
      </c>
    </row>
    <row r="11" spans="1:11" x14ac:dyDescent="0.25">
      <c r="A11" s="1">
        <v>1050</v>
      </c>
      <c r="B11" s="1">
        <v>0</v>
      </c>
      <c r="C11" s="1">
        <v>0</v>
      </c>
      <c r="D11" s="3" t="s">
        <v>57</v>
      </c>
      <c r="E11" s="6">
        <v>0</v>
      </c>
      <c r="F11" s="3" t="s">
        <v>60</v>
      </c>
      <c r="G11" s="15">
        <v>0</v>
      </c>
      <c r="H11" s="15">
        <f>'Current Year Monthly'!S11</f>
        <v>753</v>
      </c>
      <c r="I11" s="15">
        <f>J11</f>
        <v>0</v>
      </c>
      <c r="J11" s="15">
        <f>'Current Year Monthly'!U11</f>
        <v>0</v>
      </c>
      <c r="K11" s="17">
        <f>IF(G11&lt;&gt;0,(J11-G11)/G11,IF(J11&lt;&gt;0,1,0))</f>
        <v>0</v>
      </c>
    </row>
    <row r="12" spans="1:11" x14ac:dyDescent="0.25">
      <c r="A12" s="1">
        <v>1800</v>
      </c>
      <c r="B12" s="1">
        <v>0</v>
      </c>
      <c r="C12" s="1">
        <v>0</v>
      </c>
      <c r="D12" s="3" t="s">
        <v>57</v>
      </c>
      <c r="E12" s="6">
        <v>0</v>
      </c>
      <c r="F12" s="3" t="s">
        <v>61</v>
      </c>
      <c r="G12" s="15">
        <v>0</v>
      </c>
      <c r="H12" s="15">
        <f>'Current Year Monthly'!S12</f>
        <v>368.88000000000005</v>
      </c>
      <c r="I12" s="15">
        <f>J12</f>
        <v>0</v>
      </c>
      <c r="J12" s="15">
        <f>'Current Year Monthly'!U12</f>
        <v>0</v>
      </c>
      <c r="K12" s="17">
        <f>IF(G12&lt;&gt;0,(J12-G12)/G12,IF(J12&lt;&gt;0,1,0))</f>
        <v>0</v>
      </c>
    </row>
    <row r="13" spans="1:11" x14ac:dyDescent="0.25">
      <c r="A13" s="1">
        <v>1898</v>
      </c>
      <c r="B13" s="1">
        <v>0</v>
      </c>
      <c r="C13" s="1">
        <v>0</v>
      </c>
      <c r="D13" s="3" t="s">
        <v>62</v>
      </c>
      <c r="E13" s="6">
        <v>4</v>
      </c>
      <c r="F13" s="3" t="s">
        <v>63</v>
      </c>
      <c r="G13" s="35">
        <f>SUM(G9:G12)</f>
        <v>550689</v>
      </c>
      <c r="H13" s="35">
        <f>SUM(H9:H12)</f>
        <v>550210.88</v>
      </c>
      <c r="I13" s="35">
        <f>SUM(I9:I12)</f>
        <v>580621</v>
      </c>
      <c r="J13" s="35">
        <f>SUM(J9:J12)</f>
        <v>739669</v>
      </c>
      <c r="K13" s="36">
        <f>IF(G13&lt;&gt;0,(J13-G13)/G13,IF(J13&lt;&gt;0,1,0))</f>
        <v>0.3431701014547231</v>
      </c>
    </row>
    <row r="15" spans="1:11" s="28" customFormat="1" x14ac:dyDescent="0.25">
      <c r="A15" s="29">
        <v>1899</v>
      </c>
      <c r="B15" s="29">
        <v>0</v>
      </c>
      <c r="C15" s="29">
        <v>0</v>
      </c>
      <c r="D15" s="30" t="s">
        <v>55</v>
      </c>
      <c r="E15" s="31">
        <v>0</v>
      </c>
      <c r="F15" s="30" t="s">
        <v>64</v>
      </c>
      <c r="G15" s="32"/>
      <c r="H15" s="26"/>
      <c r="I15" s="26"/>
      <c r="J15" s="26"/>
      <c r="K15" s="27"/>
    </row>
    <row r="17" spans="1:11" x14ac:dyDescent="0.25">
      <c r="A17" s="1">
        <v>1995</v>
      </c>
      <c r="B17" s="1">
        <v>0</v>
      </c>
      <c r="C17" s="1">
        <v>0</v>
      </c>
      <c r="D17" s="3" t="s">
        <v>57</v>
      </c>
      <c r="E17" s="6">
        <v>0</v>
      </c>
      <c r="F17" s="3" t="s">
        <v>65</v>
      </c>
      <c r="G17" s="15">
        <v>0</v>
      </c>
      <c r="H17" s="15">
        <f>'Current Year Monthly'!S17</f>
        <v>1849.0399999999997</v>
      </c>
      <c r="I17" s="15">
        <f>J17</f>
        <v>0</v>
      </c>
      <c r="J17" s="15">
        <f>'Current Year Monthly'!U17</f>
        <v>0</v>
      </c>
      <c r="K17" s="17">
        <f>IF(G17&lt;&gt;0,(J17-G17)/G17,IF(J17&lt;&gt;0,1,0))</f>
        <v>0</v>
      </c>
    </row>
    <row r="18" spans="1:11" x14ac:dyDescent="0.25">
      <c r="A18" s="1">
        <v>1998</v>
      </c>
      <c r="B18" s="1">
        <v>0</v>
      </c>
      <c r="C18" s="1">
        <v>0</v>
      </c>
      <c r="D18" s="3" t="s">
        <v>62</v>
      </c>
      <c r="E18" s="6">
        <v>4</v>
      </c>
      <c r="F18" s="3" t="s">
        <v>66</v>
      </c>
      <c r="G18" s="35">
        <f>SUM(G17:G17)</f>
        <v>0</v>
      </c>
      <c r="H18" s="35">
        <f>SUM(H17:H17)</f>
        <v>1849.0399999999997</v>
      </c>
      <c r="I18" s="35">
        <f>SUM(I17:I17)</f>
        <v>0</v>
      </c>
      <c r="J18" s="35">
        <f>SUM(J17:J17)</f>
        <v>0</v>
      </c>
      <c r="K18" s="36">
        <f>IF(G18&lt;&gt;0,(J18-G18)/G18,IF(J18&lt;&gt;0,1,0))</f>
        <v>0</v>
      </c>
    </row>
    <row r="19" spans="1:11" x14ac:dyDescent="0.25">
      <c r="A19" s="1">
        <v>1999</v>
      </c>
      <c r="B19" s="1">
        <v>0</v>
      </c>
      <c r="C19" s="1">
        <v>0</v>
      </c>
      <c r="D19" s="3" t="s">
        <v>62</v>
      </c>
      <c r="E19" s="6">
        <v>7</v>
      </c>
      <c r="F19" s="3" t="s">
        <v>67</v>
      </c>
      <c r="G19" s="35">
        <f>+G13+G18</f>
        <v>550689</v>
      </c>
      <c r="H19" s="35">
        <f>+H13+H18</f>
        <v>552059.92000000004</v>
      </c>
      <c r="I19" s="35">
        <f>+I13+I18</f>
        <v>580621</v>
      </c>
      <c r="J19" s="35">
        <f>+J13+J18</f>
        <v>739669</v>
      </c>
      <c r="K19" s="36">
        <f>IF(G19&lt;&gt;0,(J19-G19)/G19,IF(J19&lt;&gt;0,1,0))</f>
        <v>0.3431701014547231</v>
      </c>
    </row>
    <row r="20" spans="1:11" hidden="1" x14ac:dyDescent="0.25"/>
    <row r="21" spans="1:11" s="28" customFormat="1" hidden="1" x14ac:dyDescent="0.25">
      <c r="A21" s="29">
        <v>2000</v>
      </c>
      <c r="B21" s="29">
        <v>0</v>
      </c>
      <c r="C21" s="29">
        <v>0</v>
      </c>
      <c r="D21" s="30" t="s">
        <v>55</v>
      </c>
      <c r="E21" s="31">
        <v>0</v>
      </c>
      <c r="F21" s="30"/>
      <c r="G21" s="32"/>
      <c r="H21" s="26"/>
      <c r="I21" s="26"/>
      <c r="J21" s="26"/>
      <c r="K21" s="27"/>
    </row>
    <row r="22" spans="1:11" hidden="1" x14ac:dyDescent="0.25"/>
    <row r="24" spans="1:11" s="28" customFormat="1" x14ac:dyDescent="0.25">
      <c r="A24" s="29">
        <v>2001</v>
      </c>
      <c r="B24" s="29">
        <v>0</v>
      </c>
      <c r="C24" s="29">
        <v>0</v>
      </c>
      <c r="D24" s="30" t="s">
        <v>55</v>
      </c>
      <c r="E24" s="31">
        <v>0</v>
      </c>
      <c r="F24" s="30" t="s">
        <v>68</v>
      </c>
      <c r="G24" s="32"/>
      <c r="H24" s="26"/>
      <c r="I24" s="26"/>
      <c r="J24" s="26"/>
      <c r="K24" s="27"/>
    </row>
    <row r="25" spans="1:11" hidden="1" x14ac:dyDescent="0.25"/>
    <row r="27" spans="1:11" s="28" customFormat="1" x14ac:dyDescent="0.25">
      <c r="A27" s="29">
        <v>2002</v>
      </c>
      <c r="B27" s="29">
        <v>0</v>
      </c>
      <c r="C27" s="29">
        <v>0</v>
      </c>
      <c r="D27" s="30" t="s">
        <v>55</v>
      </c>
      <c r="E27" s="31">
        <v>0</v>
      </c>
      <c r="F27" s="30" t="s">
        <v>69</v>
      </c>
      <c r="G27" s="32"/>
      <c r="H27" s="26"/>
      <c r="I27" s="26"/>
      <c r="J27" s="26"/>
      <c r="K27" s="27"/>
    </row>
    <row r="29" spans="1:11" x14ac:dyDescent="0.25">
      <c r="A29" s="1">
        <v>2020</v>
      </c>
      <c r="B29" s="1">
        <v>0</v>
      </c>
      <c r="C29" s="1">
        <v>0</v>
      </c>
      <c r="D29" s="3" t="s">
        <v>57</v>
      </c>
      <c r="E29" s="6">
        <v>0</v>
      </c>
      <c r="F29" s="3" t="s">
        <v>70</v>
      </c>
      <c r="G29" s="15">
        <v>6500</v>
      </c>
      <c r="H29" s="15">
        <f>'Current Year Monthly'!S29</f>
        <v>5877.6</v>
      </c>
      <c r="I29" s="15">
        <f t="shared" ref="I29" si="0">J29</f>
        <v>6500</v>
      </c>
      <c r="J29" s="15">
        <f>'Current Year Monthly'!U29</f>
        <v>6500</v>
      </c>
      <c r="K29" s="17">
        <f t="shared" ref="K29:K43" si="1">IF(G29&lt;&gt;0,(J29-G29)/G29,IF(J29&lt;&gt;0,1,0))</f>
        <v>0</v>
      </c>
    </row>
    <row r="30" spans="1:11" x14ac:dyDescent="0.25">
      <c r="A30" s="1">
        <v>2045</v>
      </c>
      <c r="B30" s="1">
        <v>0</v>
      </c>
      <c r="C30" s="1">
        <v>0</v>
      </c>
      <c r="D30" s="3" t="s">
        <v>57</v>
      </c>
      <c r="E30" s="6">
        <v>0</v>
      </c>
      <c r="F30" s="3" t="s">
        <v>71</v>
      </c>
      <c r="G30" s="15">
        <v>28000</v>
      </c>
      <c r="H30" s="15">
        <f>'Current Year Monthly'!S30</f>
        <v>25477.45</v>
      </c>
      <c r="I30" s="15">
        <f t="shared" ref="I30:I42" si="2">J30</f>
        <v>30000</v>
      </c>
      <c r="J30" s="15">
        <f>'Current Year Monthly'!U30</f>
        <v>30000</v>
      </c>
      <c r="K30" s="17">
        <f t="shared" ref="K30:K42" si="3">IF(G30&lt;&gt;0,(J30-G30)/G30,IF(J30&lt;&gt;0,1,0))</f>
        <v>7.1428571428571425E-2</v>
      </c>
    </row>
    <row r="31" spans="1:11" x14ac:dyDescent="0.25">
      <c r="A31" s="1">
        <v>2047</v>
      </c>
      <c r="B31" s="1">
        <v>0</v>
      </c>
      <c r="C31" s="1">
        <v>0</v>
      </c>
      <c r="D31" s="3" t="s">
        <v>57</v>
      </c>
      <c r="E31" s="6">
        <v>0</v>
      </c>
      <c r="F31" s="3" t="s">
        <v>72</v>
      </c>
      <c r="G31" s="15">
        <v>15000</v>
      </c>
      <c r="H31" s="15">
        <f>'Current Year Monthly'!S31</f>
        <v>11303</v>
      </c>
      <c r="I31" s="15">
        <f t="shared" si="2"/>
        <v>5000</v>
      </c>
      <c r="J31" s="15">
        <f>'Current Year Monthly'!U31</f>
        <v>5000</v>
      </c>
      <c r="K31" s="17">
        <f t="shared" si="3"/>
        <v>-0.66666666666666663</v>
      </c>
    </row>
    <row r="32" spans="1:11" x14ac:dyDescent="0.25">
      <c r="A32" s="1">
        <v>2048</v>
      </c>
      <c r="B32" s="1">
        <v>0</v>
      </c>
      <c r="C32" s="1">
        <v>0</v>
      </c>
      <c r="D32" s="3" t="s">
        <v>57</v>
      </c>
      <c r="E32" s="6">
        <v>0</v>
      </c>
      <c r="F32" s="3" t="s">
        <v>73</v>
      </c>
      <c r="G32" s="15">
        <v>3500</v>
      </c>
      <c r="H32" s="15">
        <f>'Current Year Monthly'!S32</f>
        <v>3323.08</v>
      </c>
      <c r="I32" s="15">
        <f t="shared" si="2"/>
        <v>3500</v>
      </c>
      <c r="J32" s="15">
        <f>'Current Year Monthly'!U32</f>
        <v>3500</v>
      </c>
      <c r="K32" s="17">
        <f t="shared" si="3"/>
        <v>0</v>
      </c>
    </row>
    <row r="33" spans="1:11" x14ac:dyDescent="0.25">
      <c r="A33" s="1">
        <v>2056</v>
      </c>
      <c r="B33" s="1">
        <v>0</v>
      </c>
      <c r="C33" s="1">
        <v>0</v>
      </c>
      <c r="D33" s="3" t="s">
        <v>57</v>
      </c>
      <c r="E33" s="6">
        <v>0</v>
      </c>
      <c r="F33" s="3" t="s">
        <v>74</v>
      </c>
      <c r="G33" s="15">
        <v>15840</v>
      </c>
      <c r="H33" s="15">
        <f>'Current Year Monthly'!S33</f>
        <v>16200</v>
      </c>
      <c r="I33" s="15">
        <f t="shared" si="2"/>
        <v>16200</v>
      </c>
      <c r="J33" s="15">
        <f>'Current Year Monthly'!U33</f>
        <v>16200</v>
      </c>
      <c r="K33" s="17">
        <f t="shared" si="3"/>
        <v>2.2727272727272728E-2</v>
      </c>
    </row>
    <row r="34" spans="1:11" x14ac:dyDescent="0.25">
      <c r="A34" s="1">
        <v>2060</v>
      </c>
      <c r="B34" s="1">
        <v>0</v>
      </c>
      <c r="C34" s="1">
        <v>0</v>
      </c>
      <c r="D34" s="3" t="s">
        <v>57</v>
      </c>
      <c r="E34" s="6">
        <v>0</v>
      </c>
      <c r="F34" s="3" t="s">
        <v>75</v>
      </c>
      <c r="G34" s="15">
        <v>5370</v>
      </c>
      <c r="H34" s="15">
        <f>'Current Year Monthly'!S34</f>
        <v>5170</v>
      </c>
      <c r="I34" s="15">
        <f t="shared" si="2"/>
        <v>5475</v>
      </c>
      <c r="J34" s="15">
        <f>'Current Year Monthly'!U34</f>
        <v>5475</v>
      </c>
      <c r="K34" s="17">
        <f t="shared" si="3"/>
        <v>1.9553072625698324E-2</v>
      </c>
    </row>
    <row r="35" spans="1:11" x14ac:dyDescent="0.25">
      <c r="A35" s="1">
        <v>2070</v>
      </c>
      <c r="B35" s="1">
        <v>0</v>
      </c>
      <c r="C35" s="1">
        <v>0</v>
      </c>
      <c r="D35" s="3" t="s">
        <v>57</v>
      </c>
      <c r="E35" s="6">
        <v>0</v>
      </c>
      <c r="F35" s="3" t="s">
        <v>76</v>
      </c>
      <c r="G35" s="15">
        <v>34560</v>
      </c>
      <c r="H35" s="15">
        <f>'Current Year Monthly'!S35</f>
        <v>35868</v>
      </c>
      <c r="I35" s="15">
        <f t="shared" si="2"/>
        <v>36944</v>
      </c>
      <c r="J35" s="15">
        <f>'Current Year Monthly'!U35</f>
        <v>36944</v>
      </c>
      <c r="K35" s="17">
        <f t="shared" si="3"/>
        <v>6.8981481481481477E-2</v>
      </c>
    </row>
    <row r="36" spans="1:11" x14ac:dyDescent="0.25">
      <c r="A36" s="1">
        <v>2071</v>
      </c>
      <c r="B36" s="1">
        <v>0</v>
      </c>
      <c r="C36" s="1">
        <v>0</v>
      </c>
      <c r="D36" s="3" t="s">
        <v>57</v>
      </c>
      <c r="E36" s="6">
        <v>0</v>
      </c>
      <c r="F36" s="3" t="s">
        <v>77</v>
      </c>
      <c r="G36" s="15">
        <v>900</v>
      </c>
      <c r="H36" s="15">
        <f>'Current Year Monthly'!S36</f>
        <v>216.45</v>
      </c>
      <c r="I36" s="15">
        <f t="shared" si="2"/>
        <v>900</v>
      </c>
      <c r="J36" s="15">
        <f>'Current Year Monthly'!U36</f>
        <v>900</v>
      </c>
      <c r="K36" s="17">
        <f t="shared" si="3"/>
        <v>0</v>
      </c>
    </row>
    <row r="37" spans="1:11" x14ac:dyDescent="0.25">
      <c r="A37" s="1">
        <v>2072</v>
      </c>
      <c r="B37" s="1">
        <v>0</v>
      </c>
      <c r="C37" s="1">
        <v>0</v>
      </c>
      <c r="D37" s="3" t="s">
        <v>57</v>
      </c>
      <c r="E37" s="6">
        <v>0</v>
      </c>
      <c r="F37" s="3" t="s">
        <v>78</v>
      </c>
      <c r="G37" s="15">
        <v>8150</v>
      </c>
      <c r="H37" s="15">
        <f>'Current Year Monthly'!S37</f>
        <v>5475</v>
      </c>
      <c r="I37" s="15">
        <f t="shared" si="2"/>
        <v>8150</v>
      </c>
      <c r="J37" s="15">
        <f>'Current Year Monthly'!U37</f>
        <v>8150</v>
      </c>
      <c r="K37" s="17">
        <f t="shared" si="3"/>
        <v>0</v>
      </c>
    </row>
    <row r="38" spans="1:11" x14ac:dyDescent="0.25">
      <c r="A38" s="1">
        <v>2074</v>
      </c>
      <c r="B38" s="1">
        <v>0</v>
      </c>
      <c r="C38" s="1">
        <v>0</v>
      </c>
      <c r="D38" s="3" t="s">
        <v>57</v>
      </c>
      <c r="E38" s="6">
        <v>0</v>
      </c>
      <c r="F38" s="3" t="s">
        <v>79</v>
      </c>
      <c r="G38" s="15">
        <v>9000</v>
      </c>
      <c r="H38" s="15">
        <f>'Current Year Monthly'!S38</f>
        <v>13895.5</v>
      </c>
      <c r="I38" s="15">
        <f t="shared" si="2"/>
        <v>4800</v>
      </c>
      <c r="J38" s="15">
        <f>'Current Year Monthly'!U38</f>
        <v>4800</v>
      </c>
      <c r="K38" s="17">
        <f t="shared" si="3"/>
        <v>-0.46666666666666667</v>
      </c>
    </row>
    <row r="39" spans="1:11" x14ac:dyDescent="0.25">
      <c r="A39" s="1">
        <v>2075</v>
      </c>
      <c r="B39" s="1">
        <v>0</v>
      </c>
      <c r="C39" s="1">
        <v>0</v>
      </c>
      <c r="D39" s="3" t="s">
        <v>57</v>
      </c>
      <c r="E39" s="6">
        <v>0</v>
      </c>
      <c r="F39" s="3" t="s">
        <v>80</v>
      </c>
      <c r="G39" s="15">
        <v>4000</v>
      </c>
      <c r="H39" s="15">
        <f>'Current Year Monthly'!S39</f>
        <v>2862.87</v>
      </c>
      <c r="I39" s="15">
        <f t="shared" si="2"/>
        <v>4000</v>
      </c>
      <c r="J39" s="15">
        <f>'Current Year Monthly'!U39</f>
        <v>4000</v>
      </c>
      <c r="K39" s="17">
        <f t="shared" si="3"/>
        <v>0</v>
      </c>
    </row>
    <row r="40" spans="1:11" x14ac:dyDescent="0.25">
      <c r="A40" s="1"/>
      <c r="B40" s="1"/>
      <c r="C40" s="1"/>
      <c r="D40" s="3"/>
      <c r="E40" s="6"/>
      <c r="F40" s="3" t="s">
        <v>200</v>
      </c>
      <c r="G40" s="15">
        <v>0</v>
      </c>
      <c r="H40" s="15">
        <f>'Current Year Monthly'!S40</f>
        <v>0</v>
      </c>
      <c r="I40" s="15">
        <f t="shared" si="2"/>
        <v>5000</v>
      </c>
      <c r="J40" s="15">
        <f>'Current Year Monthly'!U40</f>
        <v>5000</v>
      </c>
      <c r="K40" s="17">
        <f t="shared" si="3"/>
        <v>1</v>
      </c>
    </row>
    <row r="41" spans="1:11" x14ac:dyDescent="0.25">
      <c r="A41" s="1">
        <v>2080</v>
      </c>
      <c r="B41" s="1">
        <v>0</v>
      </c>
      <c r="C41" s="1">
        <v>0</v>
      </c>
      <c r="D41" s="3" t="s">
        <v>57</v>
      </c>
      <c r="E41" s="6">
        <v>0</v>
      </c>
      <c r="F41" s="3" t="s">
        <v>81</v>
      </c>
      <c r="G41" s="15">
        <v>2000</v>
      </c>
      <c r="H41" s="15">
        <f>'Current Year Monthly'!S41</f>
        <v>1775</v>
      </c>
      <c r="I41" s="15">
        <f t="shared" si="2"/>
        <v>2000</v>
      </c>
      <c r="J41" s="15">
        <f>'Current Year Monthly'!U41</f>
        <v>2000</v>
      </c>
      <c r="K41" s="17">
        <f t="shared" si="3"/>
        <v>0</v>
      </c>
    </row>
    <row r="42" spans="1:11" x14ac:dyDescent="0.25">
      <c r="A42" s="1">
        <v>2099</v>
      </c>
      <c r="B42" s="1">
        <v>0</v>
      </c>
      <c r="C42" s="1">
        <v>0</v>
      </c>
      <c r="D42" s="3" t="s">
        <v>57</v>
      </c>
      <c r="E42" s="6">
        <v>0</v>
      </c>
      <c r="F42" s="3" t="s">
        <v>82</v>
      </c>
      <c r="G42" s="15">
        <v>500</v>
      </c>
      <c r="H42" s="15">
        <f>'Current Year Monthly'!S42</f>
        <v>0</v>
      </c>
      <c r="I42" s="15">
        <f t="shared" si="2"/>
        <v>500</v>
      </c>
      <c r="J42" s="15">
        <f>'Current Year Monthly'!U42</f>
        <v>500</v>
      </c>
      <c r="K42" s="17">
        <f t="shared" si="3"/>
        <v>0</v>
      </c>
    </row>
    <row r="43" spans="1:11" x14ac:dyDescent="0.25">
      <c r="A43" s="1">
        <v>2999</v>
      </c>
      <c r="B43" s="1">
        <v>0</v>
      </c>
      <c r="C43" s="1">
        <v>0</v>
      </c>
      <c r="D43" s="3" t="s">
        <v>62</v>
      </c>
      <c r="E43" s="6">
        <v>4</v>
      </c>
      <c r="F43" s="3" t="s">
        <v>83</v>
      </c>
      <c r="G43" s="35">
        <f>SUM(G29:G42)</f>
        <v>133320</v>
      </c>
      <c r="H43" s="35">
        <f>SUM(H29:H42)</f>
        <v>127443.95</v>
      </c>
      <c r="I43" s="35">
        <f>SUM(I29:I42)</f>
        <v>128969</v>
      </c>
      <c r="J43" s="35">
        <f>SUM(J29:J42)</f>
        <v>128969</v>
      </c>
      <c r="K43" s="36">
        <f t="shared" si="1"/>
        <v>-3.2635763576357633E-2</v>
      </c>
    </row>
    <row r="45" spans="1:11" s="28" customFormat="1" x14ac:dyDescent="0.25">
      <c r="A45" s="29">
        <v>3000</v>
      </c>
      <c r="B45" s="29">
        <v>0</v>
      </c>
      <c r="C45" s="29">
        <v>0</v>
      </c>
      <c r="D45" s="30" t="s">
        <v>55</v>
      </c>
      <c r="E45" s="31">
        <v>0</v>
      </c>
      <c r="F45" s="30" t="s">
        <v>84</v>
      </c>
      <c r="G45" s="32"/>
      <c r="H45" s="26"/>
      <c r="I45" s="26"/>
      <c r="J45" s="26"/>
      <c r="K45" s="27"/>
    </row>
    <row r="47" spans="1:11" x14ac:dyDescent="0.25">
      <c r="A47" s="1">
        <v>3999</v>
      </c>
      <c r="B47" s="1">
        <v>0</v>
      </c>
      <c r="C47" s="1">
        <v>0</v>
      </c>
      <c r="D47" s="3" t="s">
        <v>62</v>
      </c>
      <c r="E47" s="6">
        <v>4</v>
      </c>
      <c r="F47" s="3" t="s">
        <v>85</v>
      </c>
      <c r="G47" s="35">
        <f>SUM(G46:G46)</f>
        <v>0</v>
      </c>
      <c r="H47" s="35">
        <f>SUM(H46:H46)</f>
        <v>0</v>
      </c>
      <c r="I47" s="35">
        <f>SUM(I46:I46)</f>
        <v>0</v>
      </c>
      <c r="J47" s="35">
        <f>SUM(J46:J46)</f>
        <v>0</v>
      </c>
      <c r="K47" s="36">
        <f>IF(G47&lt;&gt;0,(J47-G47)/G47,IF(J47&lt;&gt;0,1,0))</f>
        <v>0</v>
      </c>
    </row>
    <row r="49" spans="1:11" s="28" customFormat="1" x14ac:dyDescent="0.25">
      <c r="A49" s="29">
        <v>4000</v>
      </c>
      <c r="B49" s="29">
        <v>0</v>
      </c>
      <c r="C49" s="29">
        <v>0</v>
      </c>
      <c r="D49" s="30" t="s">
        <v>55</v>
      </c>
      <c r="E49" s="31">
        <v>0</v>
      </c>
      <c r="F49" s="30" t="s">
        <v>86</v>
      </c>
      <c r="G49" s="32"/>
      <c r="H49" s="26"/>
      <c r="I49" s="26"/>
      <c r="J49" s="26"/>
      <c r="K49" s="27"/>
    </row>
    <row r="51" spans="1:11" x14ac:dyDescent="0.25">
      <c r="A51" s="1">
        <v>4010</v>
      </c>
      <c r="B51" s="1">
        <v>0</v>
      </c>
      <c r="C51" s="1">
        <v>0</v>
      </c>
      <c r="D51" s="3" t="s">
        <v>57</v>
      </c>
      <c r="E51" s="6">
        <v>0</v>
      </c>
      <c r="F51" s="3" t="s">
        <v>87</v>
      </c>
      <c r="G51" s="15">
        <v>26000</v>
      </c>
      <c r="H51" s="15">
        <f>'Current Year Monthly'!S51</f>
        <v>22716.61</v>
      </c>
      <c r="I51" s="15">
        <f t="shared" ref="I51:I57" si="4">J51</f>
        <v>24500</v>
      </c>
      <c r="J51" s="15">
        <f>'Current Year Monthly'!U51</f>
        <v>24500</v>
      </c>
      <c r="K51" s="17">
        <f t="shared" ref="K51:K58" si="5">IF(G51&lt;&gt;0,(J51-G51)/G51,IF(J51&lt;&gt;0,1,0))</f>
        <v>-5.7692307692307696E-2</v>
      </c>
    </row>
    <row r="52" spans="1:11" x14ac:dyDescent="0.25">
      <c r="A52" s="1">
        <v>4015</v>
      </c>
      <c r="B52" s="1">
        <v>0</v>
      </c>
      <c r="C52" s="1">
        <v>0</v>
      </c>
      <c r="D52" s="3" t="s">
        <v>57</v>
      </c>
      <c r="E52" s="6">
        <v>0</v>
      </c>
      <c r="F52" s="3" t="s">
        <v>88</v>
      </c>
      <c r="G52" s="15">
        <v>13500</v>
      </c>
      <c r="H52" s="15">
        <f>'Current Year Monthly'!S52</f>
        <v>13885.2</v>
      </c>
      <c r="I52" s="15">
        <f t="shared" si="4"/>
        <v>14000</v>
      </c>
      <c r="J52" s="15">
        <f>'Current Year Monthly'!U52</f>
        <v>14000</v>
      </c>
      <c r="K52" s="17">
        <f t="shared" si="5"/>
        <v>3.7037037037037035E-2</v>
      </c>
    </row>
    <row r="53" spans="1:11" x14ac:dyDescent="0.25">
      <c r="A53" s="1">
        <v>4020</v>
      </c>
      <c r="B53" s="1">
        <v>0</v>
      </c>
      <c r="C53" s="1">
        <v>0</v>
      </c>
      <c r="D53" s="3" t="s">
        <v>57</v>
      </c>
      <c r="E53" s="6">
        <v>0</v>
      </c>
      <c r="F53" s="3" t="s">
        <v>89</v>
      </c>
      <c r="G53" s="15">
        <v>17500</v>
      </c>
      <c r="H53" s="15">
        <f>'Current Year Monthly'!S53</f>
        <v>18800.5</v>
      </c>
      <c r="I53" s="15">
        <f t="shared" si="4"/>
        <v>20000</v>
      </c>
      <c r="J53" s="15">
        <f>'Current Year Monthly'!U53</f>
        <v>20000</v>
      </c>
      <c r="K53" s="17">
        <f t="shared" si="5"/>
        <v>0.14285714285714285</v>
      </c>
    </row>
    <row r="54" spans="1:11" x14ac:dyDescent="0.25">
      <c r="A54" s="1">
        <v>4030</v>
      </c>
      <c r="B54" s="1">
        <v>0</v>
      </c>
      <c r="C54" s="1">
        <v>0</v>
      </c>
      <c r="D54" s="3" t="s">
        <v>57</v>
      </c>
      <c r="E54" s="6">
        <v>0</v>
      </c>
      <c r="F54" s="3" t="s">
        <v>90</v>
      </c>
      <c r="G54" s="15">
        <v>42442</v>
      </c>
      <c r="H54" s="15">
        <f>'Current Year Monthly'!S54</f>
        <v>40402.800000000003</v>
      </c>
      <c r="I54" s="15">
        <f t="shared" si="4"/>
        <v>42442</v>
      </c>
      <c r="J54" s="15">
        <f>'Current Year Monthly'!U54</f>
        <v>42442</v>
      </c>
      <c r="K54" s="17">
        <f t="shared" si="5"/>
        <v>0</v>
      </c>
    </row>
    <row r="55" spans="1:11" x14ac:dyDescent="0.25">
      <c r="A55" s="1">
        <v>4040</v>
      </c>
      <c r="B55" s="1">
        <v>0</v>
      </c>
      <c r="C55" s="1">
        <v>0</v>
      </c>
      <c r="D55" s="3" t="s">
        <v>57</v>
      </c>
      <c r="E55" s="6">
        <v>0</v>
      </c>
      <c r="F55" s="3" t="s">
        <v>91</v>
      </c>
      <c r="G55" s="15">
        <v>9428</v>
      </c>
      <c r="H55" s="15">
        <f>'Current Year Monthly'!S55</f>
        <v>8959.73</v>
      </c>
      <c r="I55" s="15">
        <f t="shared" si="4"/>
        <v>9428</v>
      </c>
      <c r="J55" s="15">
        <f>'Current Year Monthly'!U55</f>
        <v>9428</v>
      </c>
      <c r="K55" s="17">
        <f t="shared" si="5"/>
        <v>0</v>
      </c>
    </row>
    <row r="56" spans="1:11" x14ac:dyDescent="0.25">
      <c r="A56" s="1">
        <v>4050</v>
      </c>
      <c r="B56" s="1">
        <v>0</v>
      </c>
      <c r="C56" s="1">
        <v>0</v>
      </c>
      <c r="D56" s="3" t="s">
        <v>57</v>
      </c>
      <c r="E56" s="6">
        <v>0</v>
      </c>
      <c r="F56" s="3" t="s">
        <v>92</v>
      </c>
      <c r="G56" s="15">
        <v>2638</v>
      </c>
      <c r="H56" s="15">
        <f>'Current Year Monthly'!S56</f>
        <v>2357.3599999999997</v>
      </c>
      <c r="I56" s="15">
        <f t="shared" si="4"/>
        <v>2638</v>
      </c>
      <c r="J56" s="15">
        <f>'Current Year Monthly'!U56</f>
        <v>2638</v>
      </c>
      <c r="K56" s="17">
        <f t="shared" si="5"/>
        <v>0</v>
      </c>
    </row>
    <row r="57" spans="1:11" x14ac:dyDescent="0.25">
      <c r="A57" s="1">
        <v>4070</v>
      </c>
      <c r="B57" s="1">
        <v>0</v>
      </c>
      <c r="C57" s="1">
        <v>0</v>
      </c>
      <c r="D57" s="3" t="s">
        <v>57</v>
      </c>
      <c r="E57" s="6">
        <v>0</v>
      </c>
      <c r="F57" s="3" t="s">
        <v>93</v>
      </c>
      <c r="G57" s="15">
        <v>44669</v>
      </c>
      <c r="H57" s="15">
        <f>'Current Year Monthly'!S57</f>
        <v>43857.560000000012</v>
      </c>
      <c r="I57" s="15">
        <f t="shared" si="4"/>
        <v>46489</v>
      </c>
      <c r="J57" s="15">
        <f>'Current Year Monthly'!U57</f>
        <v>46489</v>
      </c>
      <c r="K57" s="17">
        <f t="shared" si="5"/>
        <v>4.0744140231480444E-2</v>
      </c>
    </row>
    <row r="58" spans="1:11" x14ac:dyDescent="0.25">
      <c r="A58" s="1">
        <v>4999</v>
      </c>
      <c r="B58" s="1">
        <v>0</v>
      </c>
      <c r="C58" s="1">
        <v>0</v>
      </c>
      <c r="D58" s="3" t="s">
        <v>62</v>
      </c>
      <c r="E58" s="6">
        <v>4</v>
      </c>
      <c r="F58" s="3" t="s">
        <v>94</v>
      </c>
      <c r="G58" s="35">
        <f>SUM(G51:G57)</f>
        <v>156177</v>
      </c>
      <c r="H58" s="35">
        <f>SUM(H51:H57)</f>
        <v>150979.76</v>
      </c>
      <c r="I58" s="35">
        <f>SUM(I51:I57)</f>
        <v>159497</v>
      </c>
      <c r="J58" s="35">
        <f>SUM(J51:J57)</f>
        <v>159497</v>
      </c>
      <c r="K58" s="36">
        <f t="shared" si="5"/>
        <v>2.1257931705692901E-2</v>
      </c>
    </row>
    <row r="60" spans="1:11" s="28" customFormat="1" x14ac:dyDescent="0.25">
      <c r="A60" s="29">
        <v>5000</v>
      </c>
      <c r="B60" s="29">
        <v>0</v>
      </c>
      <c r="C60" s="29">
        <v>0</v>
      </c>
      <c r="D60" s="30" t="s">
        <v>55</v>
      </c>
      <c r="E60" s="31">
        <v>0</v>
      </c>
      <c r="F60" s="30" t="s">
        <v>95</v>
      </c>
      <c r="G60" s="32"/>
      <c r="H60" s="26"/>
      <c r="I60" s="26"/>
      <c r="J60" s="26"/>
      <c r="K60" s="27"/>
    </row>
    <row r="62" spans="1:11" x14ac:dyDescent="0.25">
      <c r="A62" s="1">
        <v>5010</v>
      </c>
      <c r="B62" s="1">
        <v>0</v>
      </c>
      <c r="C62" s="1">
        <v>0</v>
      </c>
      <c r="D62" s="3" t="s">
        <v>57</v>
      </c>
      <c r="E62" s="6">
        <v>0</v>
      </c>
      <c r="F62" s="3" t="s">
        <v>96</v>
      </c>
      <c r="G62" s="15">
        <v>28191</v>
      </c>
      <c r="H62" s="15">
        <f>'Current Year Monthly'!S62</f>
        <v>28191.359999999993</v>
      </c>
      <c r="I62" s="15">
        <f t="shared" ref="I62:I67" si="6">J62</f>
        <v>28191</v>
      </c>
      <c r="J62" s="15">
        <f>'Current Year Monthly'!U62</f>
        <v>28191</v>
      </c>
      <c r="K62" s="17">
        <f t="shared" ref="K62:K68" si="7">IF(G62&lt;&gt;0,(J62-G62)/G62,IF(J62&lt;&gt;0,1,0))</f>
        <v>0</v>
      </c>
    </row>
    <row r="63" spans="1:11" x14ac:dyDescent="0.25">
      <c r="A63" s="1">
        <v>5011</v>
      </c>
      <c r="B63" s="1">
        <v>0</v>
      </c>
      <c r="C63" s="1">
        <v>0</v>
      </c>
      <c r="D63" s="3" t="s">
        <v>57</v>
      </c>
      <c r="E63" s="6">
        <v>0</v>
      </c>
      <c r="F63" s="3" t="s">
        <v>97</v>
      </c>
      <c r="G63" s="15">
        <v>5300</v>
      </c>
      <c r="H63" s="15">
        <f>'Current Year Monthly'!S63</f>
        <v>5992.1799999999994</v>
      </c>
      <c r="I63" s="15">
        <f t="shared" si="6"/>
        <v>6050</v>
      </c>
      <c r="J63" s="15">
        <f>'Current Year Monthly'!U63</f>
        <v>6050</v>
      </c>
      <c r="K63" s="17">
        <f t="shared" si="7"/>
        <v>0.14150943396226415</v>
      </c>
    </row>
    <row r="64" spans="1:11" x14ac:dyDescent="0.25">
      <c r="A64" s="1">
        <v>5015</v>
      </c>
      <c r="B64" s="1">
        <v>0</v>
      </c>
      <c r="C64" s="1">
        <v>0</v>
      </c>
      <c r="D64" s="3" t="s">
        <v>57</v>
      </c>
      <c r="E64" s="6">
        <v>0</v>
      </c>
      <c r="F64" s="3" t="s">
        <v>98</v>
      </c>
      <c r="G64" s="15">
        <v>696</v>
      </c>
      <c r="H64" s="15">
        <f>'Current Year Monthly'!S64</f>
        <v>696</v>
      </c>
      <c r="I64" s="15">
        <f t="shared" si="6"/>
        <v>696</v>
      </c>
      <c r="J64" s="15">
        <f>'Current Year Monthly'!U64</f>
        <v>696</v>
      </c>
      <c r="K64" s="17">
        <f t="shared" si="7"/>
        <v>0</v>
      </c>
    </row>
    <row r="65" spans="1:11" x14ac:dyDescent="0.25">
      <c r="A65" s="1">
        <v>5016</v>
      </c>
      <c r="B65" s="1">
        <v>0</v>
      </c>
      <c r="C65" s="1">
        <v>0</v>
      </c>
      <c r="D65" s="3" t="s">
        <v>57</v>
      </c>
      <c r="E65" s="6">
        <v>0</v>
      </c>
      <c r="F65" s="3" t="s">
        <v>99</v>
      </c>
      <c r="G65" s="15">
        <v>1000</v>
      </c>
      <c r="H65" s="15">
        <f>'Current Year Monthly'!S65</f>
        <v>5560.25</v>
      </c>
      <c r="I65" s="15">
        <f t="shared" si="6"/>
        <v>1000</v>
      </c>
      <c r="J65" s="15">
        <f>'Current Year Monthly'!U65</f>
        <v>1000</v>
      </c>
      <c r="K65" s="17">
        <f t="shared" si="7"/>
        <v>0</v>
      </c>
    </row>
    <row r="66" spans="1:11" x14ac:dyDescent="0.25">
      <c r="A66" s="1">
        <v>5030</v>
      </c>
      <c r="B66" s="1">
        <v>0</v>
      </c>
      <c r="C66" s="1">
        <v>0</v>
      </c>
      <c r="D66" s="3" t="s">
        <v>57</v>
      </c>
      <c r="E66" s="6">
        <v>0</v>
      </c>
      <c r="F66" s="3" t="s">
        <v>100</v>
      </c>
      <c r="G66" s="15">
        <v>4500</v>
      </c>
      <c r="H66" s="15">
        <f>'Current Year Monthly'!S66</f>
        <v>5189.0900000000011</v>
      </c>
      <c r="I66" s="15">
        <f t="shared" si="6"/>
        <v>4500</v>
      </c>
      <c r="J66" s="15">
        <f>'Current Year Monthly'!U66</f>
        <v>4500</v>
      </c>
      <c r="K66" s="17">
        <f t="shared" si="7"/>
        <v>0</v>
      </c>
    </row>
    <row r="67" spans="1:11" x14ac:dyDescent="0.25">
      <c r="A67" s="1">
        <v>5032</v>
      </c>
      <c r="B67" s="1">
        <v>0</v>
      </c>
      <c r="C67" s="1">
        <v>0</v>
      </c>
      <c r="D67" s="3" t="s">
        <v>57</v>
      </c>
      <c r="E67" s="6">
        <v>0</v>
      </c>
      <c r="F67" s="3" t="s">
        <v>101</v>
      </c>
      <c r="G67" s="15">
        <v>0</v>
      </c>
      <c r="H67" s="15">
        <f>'Current Year Monthly'!S67</f>
        <v>-1760.28</v>
      </c>
      <c r="I67" s="15">
        <f t="shared" si="6"/>
        <v>0</v>
      </c>
      <c r="J67" s="15">
        <f>'Current Year Monthly'!U67</f>
        <v>0</v>
      </c>
      <c r="K67" s="17">
        <f t="shared" si="7"/>
        <v>0</v>
      </c>
    </row>
    <row r="68" spans="1:11" x14ac:dyDescent="0.25">
      <c r="A68" s="1">
        <v>5999</v>
      </c>
      <c r="B68" s="1">
        <v>0</v>
      </c>
      <c r="C68" s="1">
        <v>0</v>
      </c>
      <c r="D68" s="3" t="s">
        <v>62</v>
      </c>
      <c r="E68" s="6">
        <v>4</v>
      </c>
      <c r="F68" s="3" t="s">
        <v>102</v>
      </c>
      <c r="G68" s="35">
        <f>SUM(G62:G67)</f>
        <v>39687</v>
      </c>
      <c r="H68" s="35">
        <f>SUM(H62:H67)</f>
        <v>43868.6</v>
      </c>
      <c r="I68" s="35">
        <f>SUM(I62:I67)</f>
        <v>40437</v>
      </c>
      <c r="J68" s="35">
        <f>SUM(J62:J67)</f>
        <v>40437</v>
      </c>
      <c r="K68" s="36">
        <f t="shared" si="7"/>
        <v>1.889787587875123E-2</v>
      </c>
    </row>
    <row r="70" spans="1:11" s="28" customFormat="1" x14ac:dyDescent="0.25">
      <c r="A70" s="29">
        <v>6000</v>
      </c>
      <c r="B70" s="29">
        <v>0</v>
      </c>
      <c r="C70" s="29">
        <v>0</v>
      </c>
      <c r="D70" s="30" t="s">
        <v>55</v>
      </c>
      <c r="E70" s="31">
        <v>0</v>
      </c>
      <c r="F70" s="30" t="s">
        <v>103</v>
      </c>
      <c r="G70" s="32"/>
      <c r="H70" s="26"/>
      <c r="I70" s="26"/>
      <c r="J70" s="26"/>
      <c r="K70" s="27"/>
    </row>
    <row r="72" spans="1:11" x14ac:dyDescent="0.25">
      <c r="A72" s="1">
        <v>6999</v>
      </c>
      <c r="B72" s="1">
        <v>0</v>
      </c>
      <c r="C72" s="1">
        <v>0</v>
      </c>
      <c r="D72" s="3" t="s">
        <v>62</v>
      </c>
      <c r="E72" s="6">
        <v>4</v>
      </c>
      <c r="F72" s="3" t="s">
        <v>104</v>
      </c>
      <c r="G72" s="35">
        <f>SUM(G71:G71)</f>
        <v>0</v>
      </c>
      <c r="H72" s="35">
        <f>SUM(H71:H71)</f>
        <v>0</v>
      </c>
      <c r="I72" s="35">
        <f>SUM(I71:I71)</f>
        <v>0</v>
      </c>
      <c r="J72" s="35">
        <f>SUM(J71:J71)</f>
        <v>0</v>
      </c>
      <c r="K72" s="36">
        <f>IF(G72&lt;&gt;0,(J72-G72)/G72,IF(J72&lt;&gt;0,1,0))</f>
        <v>0</v>
      </c>
    </row>
    <row r="73" spans="1:11" x14ac:dyDescent="0.25">
      <c r="A73" s="1">
        <v>8998</v>
      </c>
      <c r="B73" s="1">
        <v>0</v>
      </c>
      <c r="C73" s="1">
        <v>0</v>
      </c>
      <c r="D73" s="3" t="s">
        <v>62</v>
      </c>
      <c r="E73" s="6">
        <v>6</v>
      </c>
      <c r="F73" s="3" t="s">
        <v>105</v>
      </c>
      <c r="G73" s="35">
        <f>+G43+G47+G58+G68+G72</f>
        <v>329184</v>
      </c>
      <c r="H73" s="35">
        <f>+H43+H47+H58+H68+H72</f>
        <v>322292.31</v>
      </c>
      <c r="I73" s="35">
        <f>+I43+I47+I58+I68+I72</f>
        <v>328903</v>
      </c>
      <c r="J73" s="35">
        <f>+J43+J47+J58+J68+J72</f>
        <v>328903</v>
      </c>
      <c r="K73" s="36">
        <f>IF(G73&lt;&gt;0,(J73-G73)/G73,IF(J73&lt;&gt;0,1,0))</f>
        <v>-8.5362593564693298E-4</v>
      </c>
    </row>
    <row r="75" spans="1:11" s="28" customFormat="1" hidden="1" x14ac:dyDescent="0.25">
      <c r="A75" s="29">
        <v>8999</v>
      </c>
      <c r="B75" s="29">
        <v>0</v>
      </c>
      <c r="C75" s="29">
        <v>0</v>
      </c>
      <c r="D75" s="30" t="s">
        <v>55</v>
      </c>
      <c r="E75" s="31">
        <v>0</v>
      </c>
      <c r="F75" s="30"/>
      <c r="G75" s="32"/>
      <c r="H75" s="26"/>
      <c r="I75" s="26"/>
      <c r="J75" s="26"/>
      <c r="K75" s="27"/>
    </row>
    <row r="76" spans="1:11" hidden="1" x14ac:dyDescent="0.25"/>
    <row r="77" spans="1:11" hidden="1" x14ac:dyDescent="0.25"/>
    <row r="78" spans="1:11" s="28" customFormat="1" x14ac:dyDescent="0.25">
      <c r="A78" s="29">
        <v>9000</v>
      </c>
      <c r="B78" s="29">
        <v>0</v>
      </c>
      <c r="C78" s="29">
        <v>0</v>
      </c>
      <c r="D78" s="30" t="s">
        <v>55</v>
      </c>
      <c r="E78" s="31">
        <v>0</v>
      </c>
      <c r="F78" s="30" t="s">
        <v>106</v>
      </c>
      <c r="G78" s="32"/>
      <c r="H78" s="26"/>
      <c r="I78" s="26"/>
      <c r="J78" s="26"/>
      <c r="K78" s="27"/>
    </row>
    <row r="80" spans="1:11" x14ac:dyDescent="0.25">
      <c r="A80" s="1">
        <v>9010</v>
      </c>
      <c r="B80" s="1">
        <v>0</v>
      </c>
      <c r="C80" s="1">
        <v>0</v>
      </c>
      <c r="D80" s="3" t="s">
        <v>57</v>
      </c>
      <c r="E80" s="6">
        <v>0</v>
      </c>
      <c r="F80" s="3" t="s">
        <v>107</v>
      </c>
      <c r="G80" s="15">
        <v>13500</v>
      </c>
      <c r="H80" s="15">
        <f>'Current Year Monthly'!S80</f>
        <v>13500</v>
      </c>
      <c r="I80" s="15">
        <f>LOOKUP(9010,'Proposed Reserve Plan'!A:A,RES_OPTFND)</f>
        <v>15000</v>
      </c>
      <c r="J80" s="15">
        <f>'Current Year Monthly'!U80</f>
        <v>14828</v>
      </c>
      <c r="K80" s="17">
        <f t="shared" ref="K80:K99" si="8">IF(G80&lt;&gt;0,(J80-G80)/G80,IF(J80&lt;&gt;0,1,0))</f>
        <v>9.8370370370370372E-2</v>
      </c>
    </row>
    <row r="81" spans="1:11" x14ac:dyDescent="0.25">
      <c r="A81" s="1">
        <v>9020</v>
      </c>
      <c r="B81" s="1">
        <v>0</v>
      </c>
      <c r="C81" s="1">
        <v>0</v>
      </c>
      <c r="D81" s="3" t="s">
        <v>57</v>
      </c>
      <c r="E81" s="6">
        <v>0</v>
      </c>
      <c r="F81" s="3" t="s">
        <v>108</v>
      </c>
      <c r="G81" s="15">
        <v>56000</v>
      </c>
      <c r="H81" s="15">
        <f>'Current Year Monthly'!S81</f>
        <v>56000.039999999986</v>
      </c>
      <c r="I81" s="15">
        <f>LOOKUP(9020,'Proposed Reserve Plan'!A:A,RES_OPTFND)</f>
        <v>65000</v>
      </c>
      <c r="J81" s="15">
        <f>'Current Year Monthly'!U81</f>
        <v>141084</v>
      </c>
      <c r="K81" s="17">
        <f t="shared" si="8"/>
        <v>1.5193571428571429</v>
      </c>
    </row>
    <row r="82" spans="1:11" x14ac:dyDescent="0.25">
      <c r="A82" s="1">
        <v>9030</v>
      </c>
      <c r="B82" s="1">
        <v>0</v>
      </c>
      <c r="C82" s="1">
        <v>0</v>
      </c>
      <c r="D82" s="3" t="s">
        <v>57</v>
      </c>
      <c r="E82" s="6">
        <v>0</v>
      </c>
      <c r="F82" s="3" t="s">
        <v>109</v>
      </c>
      <c r="G82" s="15">
        <v>1000</v>
      </c>
      <c r="H82" s="15">
        <f>'Current Year Monthly'!S82</f>
        <v>999.96000000000015</v>
      </c>
      <c r="I82" s="15">
        <f>LOOKUP(9030,'Proposed Reserve Plan'!A:A,RES_OPTFND)</f>
        <v>3000</v>
      </c>
      <c r="J82" s="15">
        <f>'Current Year Monthly'!U82</f>
        <v>5019</v>
      </c>
      <c r="K82" s="17">
        <f t="shared" si="8"/>
        <v>4.0190000000000001</v>
      </c>
    </row>
    <row r="83" spans="1:11" x14ac:dyDescent="0.25">
      <c r="A83" s="1">
        <v>9040</v>
      </c>
      <c r="B83" s="1">
        <v>0</v>
      </c>
      <c r="C83" s="1">
        <v>0</v>
      </c>
      <c r="D83" s="3" t="s">
        <v>57</v>
      </c>
      <c r="E83" s="6">
        <v>0</v>
      </c>
      <c r="F83" s="3" t="s">
        <v>110</v>
      </c>
      <c r="G83" s="15">
        <v>1500</v>
      </c>
      <c r="H83" s="15">
        <f>'Current Year Monthly'!S83</f>
        <v>1500</v>
      </c>
      <c r="I83" s="15">
        <f>LOOKUP(9040,'Proposed Reserve Plan'!A:A,RES_OPTFND)</f>
        <v>1500</v>
      </c>
      <c r="J83" s="15">
        <f>'Current Year Monthly'!U83</f>
        <v>2857</v>
      </c>
      <c r="K83" s="17">
        <f t="shared" si="8"/>
        <v>0.90466666666666662</v>
      </c>
    </row>
    <row r="84" spans="1:11" x14ac:dyDescent="0.25">
      <c r="A84" s="1">
        <v>9045</v>
      </c>
      <c r="B84" s="1">
        <v>0</v>
      </c>
      <c r="C84" s="1">
        <v>0</v>
      </c>
      <c r="D84" s="3" t="s">
        <v>57</v>
      </c>
      <c r="E84" s="6">
        <v>0</v>
      </c>
      <c r="F84" s="3" t="s">
        <v>111</v>
      </c>
      <c r="G84" s="15">
        <v>5000</v>
      </c>
      <c r="H84" s="15">
        <f>'Current Year Monthly'!S84</f>
        <v>5000.04</v>
      </c>
      <c r="I84" s="15">
        <f>LOOKUP(9045,'Proposed Reserve Plan'!A:A,RES_OPTFND)</f>
        <v>5000</v>
      </c>
      <c r="J84" s="15">
        <f>'Current Year Monthly'!U84</f>
        <v>7582</v>
      </c>
      <c r="K84" s="17">
        <f t="shared" si="8"/>
        <v>0.51639999999999997</v>
      </c>
    </row>
    <row r="85" spans="1:11" x14ac:dyDescent="0.25">
      <c r="A85" s="1">
        <v>9050</v>
      </c>
      <c r="B85" s="1">
        <v>0</v>
      </c>
      <c r="C85" s="1">
        <v>0</v>
      </c>
      <c r="D85" s="3" t="s">
        <v>57</v>
      </c>
      <c r="E85" s="6">
        <v>0</v>
      </c>
      <c r="F85" s="3" t="s">
        <v>112</v>
      </c>
      <c r="G85" s="15">
        <v>500</v>
      </c>
      <c r="H85" s="15">
        <f>'Current Year Monthly'!S85</f>
        <v>500.04000000000013</v>
      </c>
      <c r="I85" s="15">
        <f>LOOKUP(9050,'Proposed Reserve Plan'!A:A,RES_OPTFND)</f>
        <v>1000</v>
      </c>
      <c r="J85" s="15">
        <f>'Current Year Monthly'!U85</f>
        <v>17794</v>
      </c>
      <c r="K85" s="17">
        <f t="shared" si="8"/>
        <v>34.588000000000001</v>
      </c>
    </row>
    <row r="86" spans="1:11" x14ac:dyDescent="0.25">
      <c r="A86" s="1">
        <v>9051</v>
      </c>
      <c r="B86" s="1">
        <v>0</v>
      </c>
      <c r="C86" s="1">
        <v>0</v>
      </c>
      <c r="D86" s="3" t="s">
        <v>57</v>
      </c>
      <c r="E86" s="6">
        <v>0</v>
      </c>
      <c r="F86" s="3" t="s">
        <v>113</v>
      </c>
      <c r="G86" s="15">
        <v>500</v>
      </c>
      <c r="H86" s="15">
        <f>'Current Year Monthly'!S86</f>
        <v>500.04000000000013</v>
      </c>
      <c r="I86" s="15">
        <f>LOOKUP(9051,'Proposed Reserve Plan'!A:A,RES_OPTFND)</f>
        <v>1000</v>
      </c>
      <c r="J86" s="15">
        <f>'Current Year Monthly'!U86</f>
        <v>2284</v>
      </c>
      <c r="K86" s="17">
        <f t="shared" si="8"/>
        <v>3.5680000000000001</v>
      </c>
    </row>
    <row r="87" spans="1:11" x14ac:dyDescent="0.25">
      <c r="A87" s="1">
        <v>9052</v>
      </c>
      <c r="B87" s="1">
        <v>0</v>
      </c>
      <c r="C87" s="1">
        <v>0</v>
      </c>
      <c r="D87" s="3" t="s">
        <v>57</v>
      </c>
      <c r="E87" s="6">
        <v>0</v>
      </c>
      <c r="F87" s="3" t="s">
        <v>114</v>
      </c>
      <c r="G87" s="15">
        <v>718</v>
      </c>
      <c r="H87" s="15">
        <f>'Current Year Monthly'!S87</f>
        <v>717.96</v>
      </c>
      <c r="I87" s="15">
        <f>LOOKUP(9052,'Proposed Reserve Plan'!A:A,RES_OPTFND)</f>
        <v>718</v>
      </c>
      <c r="J87" s="15">
        <f>'Current Year Monthly'!U87</f>
        <v>7327</v>
      </c>
      <c r="K87" s="17">
        <f t="shared" si="8"/>
        <v>9.2047353760445674</v>
      </c>
    </row>
    <row r="88" spans="1:11" x14ac:dyDescent="0.25">
      <c r="A88" s="1">
        <v>9056</v>
      </c>
      <c r="B88" s="1">
        <v>0</v>
      </c>
      <c r="C88" s="1">
        <v>0</v>
      </c>
      <c r="D88" s="3" t="s">
        <v>57</v>
      </c>
      <c r="E88" s="6">
        <v>0</v>
      </c>
      <c r="F88" s="3" t="s">
        <v>115</v>
      </c>
      <c r="G88" s="15">
        <v>500</v>
      </c>
      <c r="H88" s="15">
        <f>'Current Year Monthly'!S88</f>
        <v>500.04000000000013</v>
      </c>
      <c r="I88" s="15">
        <f>LOOKUP(9056,'Proposed Reserve Plan'!A:A,RES_OPTFND)</f>
        <v>2500</v>
      </c>
      <c r="J88" s="15">
        <f>'Current Year Monthly'!U88</f>
        <v>10886</v>
      </c>
      <c r="K88" s="17">
        <f t="shared" si="8"/>
        <v>20.771999999999998</v>
      </c>
    </row>
    <row r="89" spans="1:11" x14ac:dyDescent="0.25">
      <c r="A89" s="1">
        <v>9058</v>
      </c>
      <c r="B89" s="1">
        <v>0</v>
      </c>
      <c r="C89" s="1">
        <v>0</v>
      </c>
      <c r="D89" s="3" t="s">
        <v>57</v>
      </c>
      <c r="E89" s="6">
        <v>0</v>
      </c>
      <c r="F89" s="3" t="s">
        <v>116</v>
      </c>
      <c r="G89" s="15">
        <v>0</v>
      </c>
      <c r="H89" s="15">
        <f>'Current Year Monthly'!S89</f>
        <v>0</v>
      </c>
      <c r="I89" s="15">
        <f>LOOKUP(9058,'Proposed Reserve Plan'!A:A,RES_OPTFND)</f>
        <v>0</v>
      </c>
      <c r="J89" s="15">
        <f>'Current Year Monthly'!U89</f>
        <v>0</v>
      </c>
      <c r="K89" s="17">
        <f t="shared" si="8"/>
        <v>0</v>
      </c>
    </row>
    <row r="90" spans="1:11" x14ac:dyDescent="0.25">
      <c r="A90" s="1">
        <v>9064</v>
      </c>
      <c r="B90" s="1">
        <v>0</v>
      </c>
      <c r="C90" s="1">
        <v>0</v>
      </c>
      <c r="D90" s="3" t="s">
        <v>57</v>
      </c>
      <c r="E90" s="6">
        <v>0</v>
      </c>
      <c r="F90" s="3" t="s">
        <v>117</v>
      </c>
      <c r="G90" s="15">
        <v>500</v>
      </c>
      <c r="H90" s="15">
        <f>'Current Year Monthly'!S90</f>
        <v>500.04000000000013</v>
      </c>
      <c r="I90" s="15">
        <f>LOOKUP(9064,'Proposed Reserve Plan'!A:A,RES_OPTFND)</f>
        <v>2000</v>
      </c>
      <c r="J90" s="15">
        <f>'Current Year Monthly'!U90</f>
        <v>9801</v>
      </c>
      <c r="K90" s="17">
        <f t="shared" si="8"/>
        <v>18.602</v>
      </c>
    </row>
    <row r="91" spans="1:11" x14ac:dyDescent="0.25">
      <c r="A91" s="1">
        <v>9073</v>
      </c>
      <c r="B91" s="1">
        <v>0</v>
      </c>
      <c r="C91" s="1">
        <v>0</v>
      </c>
      <c r="D91" s="3" t="s">
        <v>57</v>
      </c>
      <c r="E91" s="6">
        <v>0</v>
      </c>
      <c r="F91" s="3" t="s">
        <v>118</v>
      </c>
      <c r="G91" s="15">
        <v>1000</v>
      </c>
      <c r="H91" s="15">
        <f>'Current Year Monthly'!S91</f>
        <v>999.96000000000015</v>
      </c>
      <c r="I91" s="15">
        <f>LOOKUP(9073,'Proposed Reserve Plan'!A:A,RES_OPTFND)</f>
        <v>1000</v>
      </c>
      <c r="J91" s="15">
        <f>'Current Year Monthly'!U91</f>
        <v>5288</v>
      </c>
      <c r="K91" s="17">
        <f t="shared" si="8"/>
        <v>4.2880000000000003</v>
      </c>
    </row>
    <row r="92" spans="1:11" x14ac:dyDescent="0.25">
      <c r="A92" s="1">
        <v>9074</v>
      </c>
      <c r="B92" s="1">
        <v>0</v>
      </c>
      <c r="C92" s="1">
        <v>0</v>
      </c>
      <c r="D92" s="3" t="s">
        <v>57</v>
      </c>
      <c r="E92" s="6">
        <v>0</v>
      </c>
      <c r="F92" s="3" t="s">
        <v>119</v>
      </c>
      <c r="G92" s="15">
        <v>7500</v>
      </c>
      <c r="H92" s="15">
        <f>'Current Year Monthly'!S92</f>
        <v>7500</v>
      </c>
      <c r="I92" s="15">
        <f>LOOKUP(9074,'Proposed Reserve Plan'!A:A,RES_OPTFND)</f>
        <v>8500</v>
      </c>
      <c r="J92" s="15">
        <f>'Current Year Monthly'!U92</f>
        <v>5860</v>
      </c>
      <c r="K92" s="17">
        <f t="shared" si="8"/>
        <v>-0.21866666666666668</v>
      </c>
    </row>
    <row r="93" spans="1:11" x14ac:dyDescent="0.25">
      <c r="A93" s="1">
        <v>9075</v>
      </c>
      <c r="B93" s="1">
        <v>0</v>
      </c>
      <c r="C93" s="1">
        <v>0</v>
      </c>
      <c r="D93" s="3" t="s">
        <v>57</v>
      </c>
      <c r="E93" s="6">
        <v>0</v>
      </c>
      <c r="F93" s="3" t="s">
        <v>120</v>
      </c>
      <c r="G93" s="15">
        <v>106300</v>
      </c>
      <c r="H93" s="15">
        <f>'Current Year Monthly'!S93</f>
        <v>106299.84000000003</v>
      </c>
      <c r="I93" s="15">
        <f>LOOKUP(9075,'Proposed Reserve Plan'!A:A,RES_OPTFND)</f>
        <v>100000</v>
      </c>
      <c r="J93" s="15">
        <f>'Current Year Monthly'!U93</f>
        <v>106804</v>
      </c>
      <c r="K93" s="17">
        <f t="shared" si="8"/>
        <v>4.7412982126058328E-3</v>
      </c>
    </row>
    <row r="94" spans="1:11" x14ac:dyDescent="0.25">
      <c r="A94" s="1">
        <v>9078</v>
      </c>
      <c r="B94" s="1">
        <v>0</v>
      </c>
      <c r="C94" s="1">
        <v>0</v>
      </c>
      <c r="D94" s="3" t="s">
        <v>57</v>
      </c>
      <c r="E94" s="6">
        <v>0</v>
      </c>
      <c r="F94" s="3" t="s">
        <v>121</v>
      </c>
      <c r="G94" s="15">
        <v>500</v>
      </c>
      <c r="H94" s="15">
        <f>'Current Year Monthly'!S94</f>
        <v>500.04000000000013</v>
      </c>
      <c r="I94" s="15">
        <f>LOOKUP(9078,'Proposed Reserve Plan'!A:A,RES_OPTFND)</f>
        <v>500</v>
      </c>
      <c r="J94" s="15">
        <f>'Current Year Monthly'!U94</f>
        <v>23631</v>
      </c>
      <c r="K94" s="17">
        <f t="shared" si="8"/>
        <v>46.262</v>
      </c>
    </row>
    <row r="95" spans="1:11" x14ac:dyDescent="0.25">
      <c r="A95" s="1">
        <v>9090</v>
      </c>
      <c r="B95" s="1">
        <v>0</v>
      </c>
      <c r="C95" s="1">
        <v>0</v>
      </c>
      <c r="D95" s="3" t="s">
        <v>57</v>
      </c>
      <c r="E95" s="6">
        <v>0</v>
      </c>
      <c r="F95" s="3" t="s">
        <v>122</v>
      </c>
      <c r="G95" s="15">
        <v>26487</v>
      </c>
      <c r="H95" s="15">
        <f>'Current Year Monthly'!S95</f>
        <v>26487</v>
      </c>
      <c r="I95" s="15">
        <f>LOOKUP(9090,'Proposed Reserve Plan'!A:A,RES_OPTFND)</f>
        <v>45000</v>
      </c>
      <c r="J95" s="15">
        <f>'Current Year Monthly'!U95</f>
        <v>49721</v>
      </c>
      <c r="K95" s="17">
        <f t="shared" si="8"/>
        <v>0.87718503416770488</v>
      </c>
    </row>
    <row r="96" spans="1:11" x14ac:dyDescent="0.25">
      <c r="A96" s="1">
        <v>9095</v>
      </c>
      <c r="B96" s="1">
        <v>0</v>
      </c>
      <c r="C96" s="1">
        <v>0</v>
      </c>
      <c r="D96" s="3" t="s">
        <v>57</v>
      </c>
      <c r="E96" s="6">
        <v>0</v>
      </c>
      <c r="F96" s="3" t="s">
        <v>123</v>
      </c>
      <c r="G96" s="15">
        <v>0</v>
      </c>
      <c r="H96" s="15">
        <f>'Current Year Monthly'!S96</f>
        <v>1849.0399999999997</v>
      </c>
      <c r="I96" s="15">
        <f>LOOKUP(9095,'Proposed Reserve Plan'!A:A,RES_OPTFND)</f>
        <v>0</v>
      </c>
      <c r="J96" s="15">
        <f>'Current Year Monthly'!U96</f>
        <v>0</v>
      </c>
      <c r="K96" s="17">
        <f t="shared" si="8"/>
        <v>0</v>
      </c>
    </row>
    <row r="97" spans="1:11" x14ac:dyDescent="0.25">
      <c r="A97" s="1">
        <v>9999</v>
      </c>
      <c r="B97" s="1">
        <v>0</v>
      </c>
      <c r="C97" s="1">
        <v>0</v>
      </c>
      <c r="D97" s="3" t="s">
        <v>62</v>
      </c>
      <c r="E97" s="6">
        <v>4</v>
      </c>
      <c r="F97" s="3" t="s">
        <v>124</v>
      </c>
      <c r="G97" s="35">
        <f>SUM(G80:G96)</f>
        <v>221505</v>
      </c>
      <c r="H97" s="35">
        <f>SUM(H80:H96)</f>
        <v>223354.04</v>
      </c>
      <c r="I97" s="35">
        <f>SUM(I80:I96)</f>
        <v>251718</v>
      </c>
      <c r="J97" s="35">
        <f>SUM(J80:J96)</f>
        <v>410766</v>
      </c>
      <c r="K97" s="36">
        <f t="shared" si="8"/>
        <v>0.8544321798604998</v>
      </c>
    </row>
    <row r="98" spans="1:11" x14ac:dyDescent="0.25">
      <c r="A98" s="1">
        <v>10999</v>
      </c>
      <c r="B98" s="1">
        <v>0</v>
      </c>
      <c r="C98" s="1">
        <v>0</v>
      </c>
      <c r="D98" s="3" t="s">
        <v>62</v>
      </c>
      <c r="E98" s="6">
        <v>7</v>
      </c>
      <c r="F98" s="3" t="s">
        <v>125</v>
      </c>
      <c r="G98" s="35">
        <f>+G73+G97</f>
        <v>550689</v>
      </c>
      <c r="H98" s="35">
        <f>+H73+H97</f>
        <v>545646.35</v>
      </c>
      <c r="I98" s="35">
        <f>+I73+I97</f>
        <v>580621</v>
      </c>
      <c r="J98" s="35">
        <f>+J73+J97</f>
        <v>739669</v>
      </c>
      <c r="K98" s="36">
        <f t="shared" si="8"/>
        <v>0.3431701014547231</v>
      </c>
    </row>
    <row r="99" spans="1:11" x14ac:dyDescent="0.25">
      <c r="A99" s="1">
        <v>11000</v>
      </c>
      <c r="B99" s="1">
        <v>0</v>
      </c>
      <c r="C99" s="1">
        <v>0</v>
      </c>
      <c r="D99" s="3" t="s">
        <v>62</v>
      </c>
      <c r="E99" s="6">
        <v>8</v>
      </c>
      <c r="F99" s="3" t="s">
        <v>126</v>
      </c>
      <c r="G99" s="35">
        <f>+G19-G98</f>
        <v>0</v>
      </c>
      <c r="H99" s="35">
        <f>+H19-H98</f>
        <v>6413.5700000000652</v>
      </c>
      <c r="I99" s="35">
        <f>+I19-I98</f>
        <v>0</v>
      </c>
      <c r="J99" s="35">
        <f>+J19-J98</f>
        <v>0</v>
      </c>
      <c r="K99" s="36">
        <f t="shared" si="8"/>
        <v>0</v>
      </c>
    </row>
    <row r="101" spans="1:11" s="28" customFormat="1" hidden="1" x14ac:dyDescent="0.25">
      <c r="A101" s="29">
        <v>19999</v>
      </c>
      <c r="B101" s="29">
        <v>0</v>
      </c>
      <c r="C101" s="29">
        <v>0</v>
      </c>
      <c r="D101" s="30" t="s">
        <v>55</v>
      </c>
      <c r="E101" s="31">
        <v>0</v>
      </c>
      <c r="F101" s="30"/>
      <c r="G101" s="32"/>
      <c r="H101" s="26"/>
      <c r="I101" s="26"/>
      <c r="J101" s="26"/>
      <c r="K101" s="27"/>
    </row>
    <row r="102" spans="1:11" x14ac:dyDescent="0.25">
      <c r="F102" s="8" t="s">
        <v>127</v>
      </c>
    </row>
    <row r="103" spans="1:11" x14ac:dyDescent="0.25">
      <c r="F103" s="9"/>
    </row>
    <row r="104" spans="1:11" x14ac:dyDescent="0.25">
      <c r="F104" s="9" t="s">
        <v>128</v>
      </c>
      <c r="I104" s="34" t="s">
        <v>129</v>
      </c>
      <c r="J104" s="34" t="s">
        <v>129</v>
      </c>
    </row>
    <row r="105" spans="1:11" x14ac:dyDescent="0.25">
      <c r="F105" s="9" t="s">
        <v>130</v>
      </c>
      <c r="I105" s="34" t="s">
        <v>129</v>
      </c>
      <c r="J105" s="34" t="s">
        <v>129</v>
      </c>
    </row>
    <row r="106" spans="1:11" x14ac:dyDescent="0.25">
      <c r="F106" s="9" t="s">
        <v>131</v>
      </c>
      <c r="I106" s="34" t="s">
        <v>129</v>
      </c>
      <c r="J106" s="34" t="s">
        <v>129</v>
      </c>
    </row>
    <row r="107" spans="1:11" x14ac:dyDescent="0.25">
      <c r="F107" s="9" t="s">
        <v>132</v>
      </c>
      <c r="I107" s="34" t="s">
        <v>129</v>
      </c>
      <c r="J107" s="34" t="s">
        <v>129</v>
      </c>
    </row>
    <row r="108" spans="1:11" hidden="1" x14ac:dyDescent="0.25">
      <c r="F108" s="9" t="s">
        <v>133</v>
      </c>
      <c r="I108" s="34" t="s">
        <v>129</v>
      </c>
      <c r="J108" s="34" t="s">
        <v>129</v>
      </c>
    </row>
    <row r="109" spans="1:11" hidden="1" x14ac:dyDescent="0.25">
      <c r="F109" s="9" t="s">
        <v>134</v>
      </c>
      <c r="I109" s="34" t="s">
        <v>129</v>
      </c>
      <c r="J109" s="34" t="s">
        <v>129</v>
      </c>
    </row>
    <row r="110" spans="1:11" hidden="1" x14ac:dyDescent="0.25">
      <c r="F110" s="9" t="s">
        <v>135</v>
      </c>
      <c r="I110" s="34" t="s">
        <v>129</v>
      </c>
      <c r="J110" s="34" t="s">
        <v>129</v>
      </c>
    </row>
  </sheetData>
  <mergeCells count="2">
    <mergeCell ref="G2:K2"/>
    <mergeCell ref="G4:K4"/>
  </mergeCells>
  <conditionalFormatting sqref="I99:J99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Header>&amp;L&amp;F&amp;R&amp;D &amp;T Page &amp;P</oddHeader>
  </headerFooter>
  <rowBreaks count="2" manualBreakCount="2">
    <brk id="47" max="16383" man="1"/>
    <brk id="73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F56" workbookViewId="0">
      <selection activeCell="G48" sqref="G48:G52"/>
    </sheetView>
  </sheetViews>
  <sheetFormatPr defaultRowHeight="15" x14ac:dyDescent="0.25"/>
  <cols>
    <col min="1" max="3" width="0" style="2" hidden="1" customWidth="1"/>
    <col min="4" max="4" width="0" style="4" hidden="1" customWidth="1"/>
    <col min="5" max="5" width="0" style="7" hidden="1" customWidth="1"/>
    <col min="6" max="6" width="30.28515625" style="4" customWidth="1"/>
    <col min="7" max="7" width="55.140625" style="11" customWidth="1"/>
  </cols>
  <sheetData>
    <row r="1" spans="1:7" hidden="1" x14ac:dyDescent="0.25">
      <c r="A1" s="1" t="s">
        <v>0</v>
      </c>
      <c r="B1" s="1" t="s">
        <v>1</v>
      </c>
      <c r="C1" s="1" t="s">
        <v>2</v>
      </c>
      <c r="D1" s="3" t="s">
        <v>3</v>
      </c>
      <c r="E1" s="6" t="s">
        <v>4</v>
      </c>
      <c r="F1" s="3" t="s">
        <v>5</v>
      </c>
      <c r="G1" s="10" t="s">
        <v>6</v>
      </c>
    </row>
    <row r="2" spans="1:7" x14ac:dyDescent="0.25">
      <c r="F2" s="8" t="s">
        <v>7</v>
      </c>
    </row>
    <row r="3" spans="1:7" x14ac:dyDescent="0.25">
      <c r="F3" s="8" t="s">
        <v>8</v>
      </c>
    </row>
    <row r="4" spans="1:7" x14ac:dyDescent="0.25">
      <c r="F4" s="8" t="s">
        <v>9</v>
      </c>
    </row>
    <row r="5" spans="1:7" x14ac:dyDescent="0.25">
      <c r="A5" s="12" t="s">
        <v>10</v>
      </c>
      <c r="B5" s="12" t="s">
        <v>11</v>
      </c>
      <c r="C5" s="12" t="s">
        <v>12</v>
      </c>
      <c r="D5" s="13" t="s">
        <v>13</v>
      </c>
      <c r="E5" s="14" t="s">
        <v>14</v>
      </c>
      <c r="F5" s="13"/>
      <c r="G5" s="13" t="s">
        <v>6</v>
      </c>
    </row>
    <row r="7" spans="1:7" s="28" customFormat="1" x14ac:dyDescent="0.25">
      <c r="A7" s="29">
        <v>1000</v>
      </c>
      <c r="B7" s="29">
        <v>0</v>
      </c>
      <c r="C7" s="29">
        <v>0</v>
      </c>
      <c r="D7" s="30" t="s">
        <v>55</v>
      </c>
      <c r="E7" s="31">
        <v>0</v>
      </c>
      <c r="F7" s="30" t="s">
        <v>56</v>
      </c>
      <c r="G7" s="33"/>
    </row>
    <row r="8" spans="1:7" x14ac:dyDescent="0.25">
      <c r="A8" s="1">
        <v>1010</v>
      </c>
      <c r="B8" s="1">
        <v>0</v>
      </c>
      <c r="C8" s="1">
        <v>0</v>
      </c>
      <c r="D8" s="3" t="s">
        <v>57</v>
      </c>
      <c r="E8" s="6">
        <v>0</v>
      </c>
      <c r="F8" s="3" t="s">
        <v>58</v>
      </c>
      <c r="G8" s="5" t="str">
        <f>T('Current Year Monthly'!V9)</f>
        <v/>
      </c>
    </row>
    <row r="9" spans="1:7" x14ac:dyDescent="0.25">
      <c r="A9" s="1">
        <v>1040</v>
      </c>
      <c r="B9" s="1">
        <v>0</v>
      </c>
      <c r="C9" s="1">
        <v>0</v>
      </c>
      <c r="D9" s="3" t="s">
        <v>57</v>
      </c>
      <c r="E9" s="6">
        <v>0</v>
      </c>
      <c r="F9" s="3" t="s">
        <v>59</v>
      </c>
      <c r="G9" s="5" t="str">
        <f>T('Current Year Monthly'!V10)</f>
        <v/>
      </c>
    </row>
    <row r="10" spans="1:7" x14ac:dyDescent="0.25">
      <c r="A10" s="1">
        <v>1050</v>
      </c>
      <c r="B10" s="1">
        <v>0</v>
      </c>
      <c r="C10" s="1">
        <v>0</v>
      </c>
      <c r="D10" s="3" t="s">
        <v>57</v>
      </c>
      <c r="E10" s="6">
        <v>0</v>
      </c>
      <c r="F10" s="3" t="s">
        <v>60</v>
      </c>
      <c r="G10" s="5" t="str">
        <f>T('Current Year Monthly'!V11)</f>
        <v/>
      </c>
    </row>
    <row r="11" spans="1:7" x14ac:dyDescent="0.25">
      <c r="A11" s="1">
        <v>1800</v>
      </c>
      <c r="B11" s="1">
        <v>0</v>
      </c>
      <c r="C11" s="1">
        <v>0</v>
      </c>
      <c r="D11" s="3" t="s">
        <v>57</v>
      </c>
      <c r="E11" s="6">
        <v>0</v>
      </c>
      <c r="F11" s="3" t="s">
        <v>61</v>
      </c>
      <c r="G11" s="5" t="str">
        <f>T('Current Year Monthly'!V12)</f>
        <v/>
      </c>
    </row>
    <row r="13" spans="1:7" s="28" customFormat="1" x14ac:dyDescent="0.25">
      <c r="A13" s="29">
        <v>1899</v>
      </c>
      <c r="B13" s="29">
        <v>0</v>
      </c>
      <c r="C13" s="29">
        <v>0</v>
      </c>
      <c r="D13" s="30" t="s">
        <v>55</v>
      </c>
      <c r="E13" s="31">
        <v>0</v>
      </c>
      <c r="F13" s="30" t="s">
        <v>64</v>
      </c>
      <c r="G13" s="33"/>
    </row>
    <row r="14" spans="1:7" x14ac:dyDescent="0.25">
      <c r="A14" s="1">
        <v>1995</v>
      </c>
      <c r="B14" s="1">
        <v>0</v>
      </c>
      <c r="C14" s="1">
        <v>0</v>
      </c>
      <c r="D14" s="3" t="s">
        <v>57</v>
      </c>
      <c r="E14" s="6">
        <v>0</v>
      </c>
      <c r="F14" s="3" t="s">
        <v>65</v>
      </c>
      <c r="G14" s="5" t="str">
        <f>T('Current Year Monthly'!V17)</f>
        <v/>
      </c>
    </row>
    <row r="16" spans="1:7" s="28" customFormat="1" x14ac:dyDescent="0.25">
      <c r="A16" s="29">
        <v>2000</v>
      </c>
      <c r="B16" s="29">
        <v>0</v>
      </c>
      <c r="C16" s="29">
        <v>0</v>
      </c>
      <c r="D16" s="30" t="s">
        <v>55</v>
      </c>
      <c r="E16" s="31">
        <v>0</v>
      </c>
      <c r="F16" s="30"/>
      <c r="G16" s="33"/>
    </row>
    <row r="18" spans="1:7" s="28" customFormat="1" x14ac:dyDescent="0.25">
      <c r="A18" s="29">
        <v>2001</v>
      </c>
      <c r="B18" s="29">
        <v>0</v>
      </c>
      <c r="C18" s="29">
        <v>0</v>
      </c>
      <c r="D18" s="30" t="s">
        <v>55</v>
      </c>
      <c r="E18" s="31">
        <v>0</v>
      </c>
      <c r="F18" s="30" t="s">
        <v>68</v>
      </c>
      <c r="G18" s="33"/>
    </row>
    <row r="20" spans="1:7" s="28" customFormat="1" x14ac:dyDescent="0.25">
      <c r="A20" s="29">
        <v>2002</v>
      </c>
      <c r="B20" s="29">
        <v>0</v>
      </c>
      <c r="C20" s="29">
        <v>0</v>
      </c>
      <c r="D20" s="30" t="s">
        <v>55</v>
      </c>
      <c r="E20" s="31">
        <v>0</v>
      </c>
      <c r="F20" s="30" t="s">
        <v>69</v>
      </c>
      <c r="G20" s="33"/>
    </row>
    <row r="21" spans="1:7" ht="34.5" x14ac:dyDescent="0.25">
      <c r="A21" s="1">
        <v>2020</v>
      </c>
      <c r="B21" s="1">
        <v>0</v>
      </c>
      <c r="C21" s="1">
        <v>0</v>
      </c>
      <c r="D21" s="3" t="s">
        <v>57</v>
      </c>
      <c r="E21" s="6">
        <v>0</v>
      </c>
      <c r="F21" s="3" t="s">
        <v>70</v>
      </c>
      <c r="G21" s="88" t="s">
        <v>204</v>
      </c>
    </row>
    <row r="22" spans="1:7" x14ac:dyDescent="0.25">
      <c r="A22" s="1">
        <v>2045</v>
      </c>
      <c r="B22" s="1">
        <v>0</v>
      </c>
      <c r="C22" s="1">
        <v>0</v>
      </c>
      <c r="D22" s="3" t="s">
        <v>57</v>
      </c>
      <c r="E22" s="6">
        <v>0</v>
      </c>
      <c r="F22" s="3" t="s">
        <v>71</v>
      </c>
      <c r="G22" s="89" t="s">
        <v>207</v>
      </c>
    </row>
    <row r="23" spans="1:7" ht="34.5" x14ac:dyDescent="0.25">
      <c r="A23" s="1">
        <v>2047</v>
      </c>
      <c r="B23" s="1">
        <v>0</v>
      </c>
      <c r="C23" s="1">
        <v>0</v>
      </c>
      <c r="D23" s="3" t="s">
        <v>57</v>
      </c>
      <c r="E23" s="6">
        <v>0</v>
      </c>
      <c r="F23" s="3" t="s">
        <v>72</v>
      </c>
      <c r="G23" s="91" t="s">
        <v>199</v>
      </c>
    </row>
    <row r="24" spans="1:7" ht="23.25" x14ac:dyDescent="0.25">
      <c r="A24" s="1">
        <v>2048</v>
      </c>
      <c r="B24" s="1">
        <v>0</v>
      </c>
      <c r="C24" s="1">
        <v>0</v>
      </c>
      <c r="D24" s="3" t="s">
        <v>57</v>
      </c>
      <c r="E24" s="6">
        <v>0</v>
      </c>
      <c r="F24" s="3" t="s">
        <v>73</v>
      </c>
      <c r="G24" s="88" t="s">
        <v>208</v>
      </c>
    </row>
    <row r="25" spans="1:7" ht="23.25" x14ac:dyDescent="0.25">
      <c r="A25" s="1">
        <v>2056</v>
      </c>
      <c r="B25" s="1">
        <v>0</v>
      </c>
      <c r="C25" s="1">
        <v>0</v>
      </c>
      <c r="D25" s="3" t="s">
        <v>57</v>
      </c>
      <c r="E25" s="6">
        <v>0</v>
      </c>
      <c r="F25" s="3" t="s">
        <v>74</v>
      </c>
      <c r="G25" s="88" t="s">
        <v>193</v>
      </c>
    </row>
    <row r="26" spans="1:7" ht="34.5" x14ac:dyDescent="0.25">
      <c r="A26" s="1">
        <v>2060</v>
      </c>
      <c r="B26" s="1">
        <v>0</v>
      </c>
      <c r="C26" s="1">
        <v>0</v>
      </c>
      <c r="D26" s="3" t="s">
        <v>57</v>
      </c>
      <c r="E26" s="6">
        <v>0</v>
      </c>
      <c r="F26" s="3" t="s">
        <v>75</v>
      </c>
      <c r="G26" s="88" t="s">
        <v>221</v>
      </c>
    </row>
    <row r="27" spans="1:7" ht="23.25" x14ac:dyDescent="0.25">
      <c r="A27" s="1">
        <v>2070</v>
      </c>
      <c r="B27" s="1">
        <v>0</v>
      </c>
      <c r="C27" s="1">
        <v>0</v>
      </c>
      <c r="D27" s="3" t="s">
        <v>57</v>
      </c>
      <c r="E27" s="6">
        <v>0</v>
      </c>
      <c r="F27" s="3" t="s">
        <v>76</v>
      </c>
      <c r="G27" s="89" t="s">
        <v>202</v>
      </c>
    </row>
    <row r="28" spans="1:7" ht="23.25" x14ac:dyDescent="0.25">
      <c r="A28" s="1">
        <v>2071</v>
      </c>
      <c r="B28" s="1">
        <v>0</v>
      </c>
      <c r="C28" s="1">
        <v>0</v>
      </c>
      <c r="D28" s="3" t="s">
        <v>57</v>
      </c>
      <c r="E28" s="6">
        <v>0</v>
      </c>
      <c r="F28" s="3" t="s">
        <v>77</v>
      </c>
      <c r="G28" s="88" t="s">
        <v>209</v>
      </c>
    </row>
    <row r="29" spans="1:7" ht="34.5" x14ac:dyDescent="0.25">
      <c r="A29" s="1">
        <v>2072</v>
      </c>
      <c r="B29" s="1">
        <v>0</v>
      </c>
      <c r="C29" s="1">
        <v>0</v>
      </c>
      <c r="D29" s="3" t="s">
        <v>57</v>
      </c>
      <c r="E29" s="6">
        <v>0</v>
      </c>
      <c r="F29" s="3" t="s">
        <v>78</v>
      </c>
      <c r="G29" s="89" t="s">
        <v>196</v>
      </c>
    </row>
    <row r="30" spans="1:7" ht="45.75" x14ac:dyDescent="0.25">
      <c r="A30" s="1">
        <v>2074</v>
      </c>
      <c r="B30" s="1">
        <v>0</v>
      </c>
      <c r="C30" s="1">
        <v>0</v>
      </c>
      <c r="D30" s="3" t="s">
        <v>57</v>
      </c>
      <c r="E30" s="6">
        <v>0</v>
      </c>
      <c r="F30" s="3" t="s">
        <v>79</v>
      </c>
      <c r="G30" s="91" t="s">
        <v>210</v>
      </c>
    </row>
    <row r="31" spans="1:7" ht="23.25" x14ac:dyDescent="0.25">
      <c r="A31" s="1">
        <v>2075</v>
      </c>
      <c r="B31" s="1">
        <v>0</v>
      </c>
      <c r="C31" s="1">
        <v>0</v>
      </c>
      <c r="D31" s="3" t="s">
        <v>57</v>
      </c>
      <c r="E31" s="6">
        <v>0</v>
      </c>
      <c r="F31" s="3" t="s">
        <v>80</v>
      </c>
      <c r="G31" s="88" t="s">
        <v>211</v>
      </c>
    </row>
    <row r="32" spans="1:7" x14ac:dyDescent="0.25">
      <c r="A32" s="1"/>
      <c r="B32" s="1"/>
      <c r="C32" s="1"/>
      <c r="D32" s="3"/>
      <c r="E32" s="6"/>
      <c r="F32" s="3" t="s">
        <v>200</v>
      </c>
      <c r="G32" s="91" t="s">
        <v>201</v>
      </c>
    </row>
    <row r="33" spans="1:7" ht="34.5" x14ac:dyDescent="0.25">
      <c r="A33" s="1">
        <v>2080</v>
      </c>
      <c r="B33" s="1">
        <v>0</v>
      </c>
      <c r="C33" s="1">
        <v>0</v>
      </c>
      <c r="D33" s="3" t="s">
        <v>57</v>
      </c>
      <c r="E33" s="6">
        <v>0</v>
      </c>
      <c r="F33" s="3" t="s">
        <v>81</v>
      </c>
      <c r="G33" s="88" t="s">
        <v>212</v>
      </c>
    </row>
    <row r="34" spans="1:7" ht="23.25" x14ac:dyDescent="0.25">
      <c r="A34" s="1">
        <v>2099</v>
      </c>
      <c r="B34" s="1">
        <v>0</v>
      </c>
      <c r="C34" s="1">
        <v>0</v>
      </c>
      <c r="D34" s="3" t="s">
        <v>57</v>
      </c>
      <c r="E34" s="6">
        <v>0</v>
      </c>
      <c r="F34" s="3" t="s">
        <v>82</v>
      </c>
      <c r="G34" s="88" t="s">
        <v>194</v>
      </c>
    </row>
    <row r="36" spans="1:7" s="28" customFormat="1" x14ac:dyDescent="0.25">
      <c r="A36" s="29">
        <v>3000</v>
      </c>
      <c r="B36" s="29">
        <v>0</v>
      </c>
      <c r="C36" s="29">
        <v>0</v>
      </c>
      <c r="D36" s="30" t="s">
        <v>55</v>
      </c>
      <c r="E36" s="31">
        <v>0</v>
      </c>
      <c r="F36" s="30" t="s">
        <v>84</v>
      </c>
      <c r="G36" s="93"/>
    </row>
    <row r="38" spans="1:7" s="28" customFormat="1" x14ac:dyDescent="0.25">
      <c r="A38" s="29">
        <v>4000</v>
      </c>
      <c r="B38" s="29">
        <v>0</v>
      </c>
      <c r="C38" s="29">
        <v>0</v>
      </c>
      <c r="D38" s="30" t="s">
        <v>55</v>
      </c>
      <c r="E38" s="31">
        <v>0</v>
      </c>
      <c r="F38" s="30" t="s">
        <v>86</v>
      </c>
      <c r="G38" s="33"/>
    </row>
    <row r="39" spans="1:7" ht="23.25" x14ac:dyDescent="0.25">
      <c r="A39" s="1">
        <v>4010</v>
      </c>
      <c r="B39" s="1">
        <v>0</v>
      </c>
      <c r="C39" s="1">
        <v>0</v>
      </c>
      <c r="D39" s="3" t="s">
        <v>57</v>
      </c>
      <c r="E39" s="6">
        <v>0</v>
      </c>
      <c r="F39" s="3" t="s">
        <v>87</v>
      </c>
      <c r="G39" s="88" t="s">
        <v>213</v>
      </c>
    </row>
    <row r="40" spans="1:7" ht="23.25" x14ac:dyDescent="0.25">
      <c r="A40" s="1">
        <v>4015</v>
      </c>
      <c r="B40" s="1">
        <v>0</v>
      </c>
      <c r="C40" s="1">
        <v>0</v>
      </c>
      <c r="D40" s="3" t="s">
        <v>57</v>
      </c>
      <c r="E40" s="6">
        <v>0</v>
      </c>
      <c r="F40" s="3" t="s">
        <v>88</v>
      </c>
      <c r="G40" s="88" t="s">
        <v>214</v>
      </c>
    </row>
    <row r="41" spans="1:7" ht="23.25" x14ac:dyDescent="0.25">
      <c r="A41" s="1">
        <v>4020</v>
      </c>
      <c r="B41" s="1">
        <v>0</v>
      </c>
      <c r="C41" s="1">
        <v>0</v>
      </c>
      <c r="D41" s="3" t="s">
        <v>57</v>
      </c>
      <c r="E41" s="6">
        <v>0</v>
      </c>
      <c r="F41" s="3" t="s">
        <v>89</v>
      </c>
      <c r="G41" s="88" t="s">
        <v>215</v>
      </c>
    </row>
    <row r="42" spans="1:7" ht="23.25" x14ac:dyDescent="0.25">
      <c r="A42" s="1">
        <v>4030</v>
      </c>
      <c r="B42" s="1">
        <v>0</v>
      </c>
      <c r="C42" s="1">
        <v>0</v>
      </c>
      <c r="D42" s="3" t="s">
        <v>57</v>
      </c>
      <c r="E42" s="6">
        <v>0</v>
      </c>
      <c r="F42" s="3" t="s">
        <v>90</v>
      </c>
      <c r="G42" s="89" t="s">
        <v>216</v>
      </c>
    </row>
    <row r="43" spans="1:7" ht="23.25" x14ac:dyDescent="0.25">
      <c r="A43" s="1">
        <v>4040</v>
      </c>
      <c r="B43" s="1">
        <v>0</v>
      </c>
      <c r="C43" s="1">
        <v>0</v>
      </c>
      <c r="D43" s="3" t="s">
        <v>57</v>
      </c>
      <c r="E43" s="6">
        <v>0</v>
      </c>
      <c r="F43" s="3" t="s">
        <v>91</v>
      </c>
      <c r="G43" s="89" t="s">
        <v>197</v>
      </c>
    </row>
    <row r="44" spans="1:7" ht="34.5" x14ac:dyDescent="0.25">
      <c r="A44" s="1">
        <v>4050</v>
      </c>
      <c r="B44" s="1">
        <v>0</v>
      </c>
      <c r="C44" s="1">
        <v>0</v>
      </c>
      <c r="D44" s="3" t="s">
        <v>57</v>
      </c>
      <c r="E44" s="6">
        <v>0</v>
      </c>
      <c r="F44" s="3" t="s">
        <v>92</v>
      </c>
      <c r="G44" s="88" t="s">
        <v>217</v>
      </c>
    </row>
    <row r="45" spans="1:7" ht="23.25" x14ac:dyDescent="0.25">
      <c r="A45" s="1">
        <v>4070</v>
      </c>
      <c r="B45" s="1">
        <v>0</v>
      </c>
      <c r="C45" s="1">
        <v>0</v>
      </c>
      <c r="D45" s="3" t="s">
        <v>57</v>
      </c>
      <c r="E45" s="6">
        <v>0</v>
      </c>
      <c r="F45" s="3" t="s">
        <v>93</v>
      </c>
      <c r="G45" s="89" t="s">
        <v>205</v>
      </c>
    </row>
    <row r="47" spans="1:7" s="28" customFormat="1" x14ac:dyDescent="0.25">
      <c r="A47" s="29">
        <v>5000</v>
      </c>
      <c r="B47" s="29">
        <v>0</v>
      </c>
      <c r="C47" s="29">
        <v>0</v>
      </c>
      <c r="D47" s="30" t="s">
        <v>55</v>
      </c>
      <c r="E47" s="31">
        <v>0</v>
      </c>
      <c r="F47" s="30" t="s">
        <v>95</v>
      </c>
      <c r="G47" s="33"/>
    </row>
    <row r="48" spans="1:7" x14ac:dyDescent="0.25">
      <c r="A48" s="1">
        <v>5010</v>
      </c>
      <c r="B48" s="1">
        <v>0</v>
      </c>
      <c r="C48" s="1">
        <v>0</v>
      </c>
      <c r="D48" s="3" t="s">
        <v>57</v>
      </c>
      <c r="E48" s="6">
        <v>0</v>
      </c>
      <c r="F48" s="3" t="s">
        <v>96</v>
      </c>
      <c r="G48" s="88" t="s">
        <v>218</v>
      </c>
    </row>
    <row r="49" spans="1:7" ht="34.5" x14ac:dyDescent="0.25">
      <c r="A49" s="1">
        <v>5011</v>
      </c>
      <c r="B49" s="1">
        <v>0</v>
      </c>
      <c r="C49" s="1">
        <v>0</v>
      </c>
      <c r="D49" s="3" t="s">
        <v>57</v>
      </c>
      <c r="E49" s="6">
        <v>0</v>
      </c>
      <c r="F49" s="3" t="s">
        <v>97</v>
      </c>
      <c r="G49" s="89" t="s">
        <v>219</v>
      </c>
    </row>
    <row r="50" spans="1:7" ht="23.25" x14ac:dyDescent="0.25">
      <c r="A50" s="1">
        <v>5015</v>
      </c>
      <c r="B50" s="1">
        <v>0</v>
      </c>
      <c r="C50" s="1">
        <v>0</v>
      </c>
      <c r="D50" s="3" t="s">
        <v>57</v>
      </c>
      <c r="E50" s="6">
        <v>0</v>
      </c>
      <c r="F50" s="3" t="s">
        <v>98</v>
      </c>
      <c r="G50" s="88" t="s">
        <v>198</v>
      </c>
    </row>
    <row r="51" spans="1:7" ht="34.5" x14ac:dyDescent="0.25">
      <c r="A51" s="1">
        <v>5016</v>
      </c>
      <c r="B51" s="1">
        <v>0</v>
      </c>
      <c r="C51" s="1">
        <v>0</v>
      </c>
      <c r="D51" s="3" t="s">
        <v>57</v>
      </c>
      <c r="E51" s="6">
        <v>0</v>
      </c>
      <c r="F51" s="3" t="s">
        <v>99</v>
      </c>
      <c r="G51" s="88" t="s">
        <v>203</v>
      </c>
    </row>
    <row r="52" spans="1:7" ht="34.5" x14ac:dyDescent="0.25">
      <c r="A52" s="1">
        <v>5030</v>
      </c>
      <c r="B52" s="1">
        <v>0</v>
      </c>
      <c r="C52" s="1">
        <v>0</v>
      </c>
      <c r="D52" s="3" t="s">
        <v>57</v>
      </c>
      <c r="E52" s="6">
        <v>0</v>
      </c>
      <c r="F52" s="3" t="s">
        <v>100</v>
      </c>
      <c r="G52" s="88" t="s">
        <v>220</v>
      </c>
    </row>
    <row r="53" spans="1:7" x14ac:dyDescent="0.25">
      <c r="A53" s="1">
        <v>5032</v>
      </c>
      <c r="B53" s="1">
        <v>0</v>
      </c>
      <c r="C53" s="1">
        <v>0</v>
      </c>
      <c r="D53" s="3" t="s">
        <v>57</v>
      </c>
      <c r="E53" s="6">
        <v>0</v>
      </c>
      <c r="F53" s="3" t="s">
        <v>101</v>
      </c>
      <c r="G53" s="5" t="str">
        <f>T('Current Year Monthly'!V67)</f>
        <v/>
      </c>
    </row>
    <row r="55" spans="1:7" s="28" customFormat="1" x14ac:dyDescent="0.25">
      <c r="A55" s="29">
        <v>6000</v>
      </c>
      <c r="B55" s="29">
        <v>0</v>
      </c>
      <c r="C55" s="29">
        <v>0</v>
      </c>
      <c r="D55" s="30" t="s">
        <v>55</v>
      </c>
      <c r="E55" s="31">
        <v>0</v>
      </c>
      <c r="F55" s="30" t="s">
        <v>103</v>
      </c>
      <c r="G55" s="33"/>
    </row>
    <row r="57" spans="1:7" s="28" customFormat="1" x14ac:dyDescent="0.25">
      <c r="A57" s="29">
        <v>8999</v>
      </c>
      <c r="B57" s="29">
        <v>0</v>
      </c>
      <c r="C57" s="29">
        <v>0</v>
      </c>
      <c r="D57" s="30" t="s">
        <v>55</v>
      </c>
      <c r="E57" s="31">
        <v>0</v>
      </c>
      <c r="F57" s="30"/>
      <c r="G57" s="33"/>
    </row>
    <row r="59" spans="1:7" s="28" customFormat="1" x14ac:dyDescent="0.25">
      <c r="A59" s="29">
        <v>9000</v>
      </c>
      <c r="B59" s="29">
        <v>0</v>
      </c>
      <c r="C59" s="29">
        <v>0</v>
      </c>
      <c r="D59" s="30" t="s">
        <v>55</v>
      </c>
      <c r="E59" s="31">
        <v>0</v>
      </c>
      <c r="F59" s="30" t="s">
        <v>106</v>
      </c>
      <c r="G59" s="33"/>
    </row>
    <row r="60" spans="1:7" x14ac:dyDescent="0.25">
      <c r="A60" s="1">
        <v>9010</v>
      </c>
      <c r="B60" s="1">
        <v>0</v>
      </c>
      <c r="C60" s="1">
        <v>0</v>
      </c>
      <c r="D60" s="3" t="s">
        <v>57</v>
      </c>
      <c r="E60" s="6">
        <v>0</v>
      </c>
      <c r="F60" s="3" t="s">
        <v>107</v>
      </c>
      <c r="G60" s="5" t="str">
        <f>T('Current Year Monthly'!V80)</f>
        <v/>
      </c>
    </row>
    <row r="61" spans="1:7" x14ac:dyDescent="0.25">
      <c r="A61" s="1">
        <v>9020</v>
      </c>
      <c r="B61" s="1">
        <v>0</v>
      </c>
      <c r="C61" s="1">
        <v>0</v>
      </c>
      <c r="D61" s="3" t="s">
        <v>57</v>
      </c>
      <c r="E61" s="6">
        <v>0</v>
      </c>
      <c r="F61" s="3" t="s">
        <v>108</v>
      </c>
      <c r="G61" s="5" t="str">
        <f>T('Current Year Monthly'!V81)</f>
        <v/>
      </c>
    </row>
    <row r="62" spans="1:7" x14ac:dyDescent="0.25">
      <c r="A62" s="1">
        <v>9030</v>
      </c>
      <c r="B62" s="1">
        <v>0</v>
      </c>
      <c r="C62" s="1">
        <v>0</v>
      </c>
      <c r="D62" s="3" t="s">
        <v>57</v>
      </c>
      <c r="E62" s="6">
        <v>0</v>
      </c>
      <c r="F62" s="3" t="s">
        <v>109</v>
      </c>
      <c r="G62" s="5" t="str">
        <f>T('Current Year Monthly'!V82)</f>
        <v/>
      </c>
    </row>
    <row r="63" spans="1:7" x14ac:dyDescent="0.25">
      <c r="A63" s="1">
        <v>9040</v>
      </c>
      <c r="B63" s="1">
        <v>0</v>
      </c>
      <c r="C63" s="1">
        <v>0</v>
      </c>
      <c r="D63" s="3" t="s">
        <v>57</v>
      </c>
      <c r="E63" s="6">
        <v>0</v>
      </c>
      <c r="F63" s="3" t="s">
        <v>110</v>
      </c>
      <c r="G63" s="5" t="str">
        <f>T('Current Year Monthly'!V83)</f>
        <v/>
      </c>
    </row>
    <row r="64" spans="1:7" x14ac:dyDescent="0.25">
      <c r="A64" s="1">
        <v>9045</v>
      </c>
      <c r="B64" s="1">
        <v>0</v>
      </c>
      <c r="C64" s="1">
        <v>0</v>
      </c>
      <c r="D64" s="3" t="s">
        <v>57</v>
      </c>
      <c r="E64" s="6">
        <v>0</v>
      </c>
      <c r="F64" s="3" t="s">
        <v>111</v>
      </c>
      <c r="G64" s="5" t="str">
        <f>T('Current Year Monthly'!V84)</f>
        <v/>
      </c>
    </row>
    <row r="65" spans="1:7" x14ac:dyDescent="0.25">
      <c r="A65" s="1">
        <v>9050</v>
      </c>
      <c r="B65" s="1">
        <v>0</v>
      </c>
      <c r="C65" s="1">
        <v>0</v>
      </c>
      <c r="D65" s="3" t="s">
        <v>57</v>
      </c>
      <c r="E65" s="6">
        <v>0</v>
      </c>
      <c r="F65" s="3" t="s">
        <v>112</v>
      </c>
      <c r="G65" s="5" t="str">
        <f>T('Current Year Monthly'!V85)</f>
        <v/>
      </c>
    </row>
    <row r="66" spans="1:7" x14ac:dyDescent="0.25">
      <c r="A66" s="1">
        <v>9051</v>
      </c>
      <c r="B66" s="1">
        <v>0</v>
      </c>
      <c r="C66" s="1">
        <v>0</v>
      </c>
      <c r="D66" s="3" t="s">
        <v>57</v>
      </c>
      <c r="E66" s="6">
        <v>0</v>
      </c>
      <c r="F66" s="3" t="s">
        <v>113</v>
      </c>
      <c r="G66" s="5" t="str">
        <f>T('Current Year Monthly'!V86)</f>
        <v/>
      </c>
    </row>
    <row r="67" spans="1:7" x14ac:dyDescent="0.25">
      <c r="A67" s="1">
        <v>9052</v>
      </c>
      <c r="B67" s="1">
        <v>0</v>
      </c>
      <c r="C67" s="1">
        <v>0</v>
      </c>
      <c r="D67" s="3" t="s">
        <v>57</v>
      </c>
      <c r="E67" s="6">
        <v>0</v>
      </c>
      <c r="F67" s="3" t="s">
        <v>114</v>
      </c>
      <c r="G67" s="5" t="str">
        <f>T('Current Year Monthly'!V87)</f>
        <v/>
      </c>
    </row>
    <row r="68" spans="1:7" x14ac:dyDescent="0.25">
      <c r="A68" s="1">
        <v>9056</v>
      </c>
      <c r="B68" s="1">
        <v>0</v>
      </c>
      <c r="C68" s="1">
        <v>0</v>
      </c>
      <c r="D68" s="3" t="s">
        <v>57</v>
      </c>
      <c r="E68" s="6">
        <v>0</v>
      </c>
      <c r="F68" s="3" t="s">
        <v>115</v>
      </c>
      <c r="G68" s="5" t="str">
        <f>T('Current Year Monthly'!V88)</f>
        <v/>
      </c>
    </row>
    <row r="69" spans="1:7" x14ac:dyDescent="0.25">
      <c r="A69" s="1">
        <v>9058</v>
      </c>
      <c r="B69" s="1">
        <v>0</v>
      </c>
      <c r="C69" s="1">
        <v>0</v>
      </c>
      <c r="D69" s="3" t="s">
        <v>57</v>
      </c>
      <c r="E69" s="6">
        <v>0</v>
      </c>
      <c r="F69" s="3" t="s">
        <v>116</v>
      </c>
      <c r="G69" s="5" t="str">
        <f>T('Current Year Monthly'!V89)</f>
        <v/>
      </c>
    </row>
    <row r="70" spans="1:7" x14ac:dyDescent="0.25">
      <c r="A70" s="1">
        <v>9064</v>
      </c>
      <c r="B70" s="1">
        <v>0</v>
      </c>
      <c r="C70" s="1">
        <v>0</v>
      </c>
      <c r="D70" s="3" t="s">
        <v>57</v>
      </c>
      <c r="E70" s="6">
        <v>0</v>
      </c>
      <c r="F70" s="3" t="s">
        <v>117</v>
      </c>
      <c r="G70" s="5" t="str">
        <f>T('Current Year Monthly'!V90)</f>
        <v/>
      </c>
    </row>
    <row r="71" spans="1:7" x14ac:dyDescent="0.25">
      <c r="A71" s="1">
        <v>9073</v>
      </c>
      <c r="B71" s="1">
        <v>0</v>
      </c>
      <c r="C71" s="1">
        <v>0</v>
      </c>
      <c r="D71" s="3" t="s">
        <v>57</v>
      </c>
      <c r="E71" s="6">
        <v>0</v>
      </c>
      <c r="F71" s="3" t="s">
        <v>118</v>
      </c>
      <c r="G71" s="5" t="str">
        <f>T('Current Year Monthly'!V91)</f>
        <v/>
      </c>
    </row>
    <row r="72" spans="1:7" x14ac:dyDescent="0.25">
      <c r="A72" s="1">
        <v>9074</v>
      </c>
      <c r="B72" s="1">
        <v>0</v>
      </c>
      <c r="C72" s="1">
        <v>0</v>
      </c>
      <c r="D72" s="3" t="s">
        <v>57</v>
      </c>
      <c r="E72" s="6">
        <v>0</v>
      </c>
      <c r="F72" s="3" t="s">
        <v>119</v>
      </c>
      <c r="G72" s="5" t="str">
        <f>T('Current Year Monthly'!V92)</f>
        <v/>
      </c>
    </row>
    <row r="73" spans="1:7" x14ac:dyDescent="0.25">
      <c r="A73" s="1">
        <v>9075</v>
      </c>
      <c r="B73" s="1">
        <v>0</v>
      </c>
      <c r="C73" s="1">
        <v>0</v>
      </c>
      <c r="D73" s="3" t="s">
        <v>57</v>
      </c>
      <c r="E73" s="6">
        <v>0</v>
      </c>
      <c r="F73" s="3" t="s">
        <v>120</v>
      </c>
      <c r="G73" s="5" t="str">
        <f>T('Current Year Monthly'!V93)</f>
        <v/>
      </c>
    </row>
    <row r="74" spans="1:7" x14ac:dyDescent="0.25">
      <c r="A74" s="1">
        <v>9078</v>
      </c>
      <c r="B74" s="1">
        <v>0</v>
      </c>
      <c r="C74" s="1">
        <v>0</v>
      </c>
      <c r="D74" s="3" t="s">
        <v>57</v>
      </c>
      <c r="E74" s="6">
        <v>0</v>
      </c>
      <c r="F74" s="3" t="s">
        <v>121</v>
      </c>
      <c r="G74" s="5" t="str">
        <f>T('Current Year Monthly'!V94)</f>
        <v/>
      </c>
    </row>
    <row r="75" spans="1:7" x14ac:dyDescent="0.25">
      <c r="A75" s="1">
        <v>9090</v>
      </c>
      <c r="B75" s="1">
        <v>0</v>
      </c>
      <c r="C75" s="1">
        <v>0</v>
      </c>
      <c r="D75" s="3" t="s">
        <v>57</v>
      </c>
      <c r="E75" s="6">
        <v>0</v>
      </c>
      <c r="F75" s="3" t="s">
        <v>122</v>
      </c>
      <c r="G75" s="5" t="str">
        <f>T('Current Year Monthly'!V95)</f>
        <v/>
      </c>
    </row>
    <row r="76" spans="1:7" x14ac:dyDescent="0.25">
      <c r="A76" s="1">
        <v>9095</v>
      </c>
      <c r="B76" s="1">
        <v>0</v>
      </c>
      <c r="C76" s="1">
        <v>0</v>
      </c>
      <c r="D76" s="3" t="s">
        <v>57</v>
      </c>
      <c r="E76" s="6">
        <v>0</v>
      </c>
      <c r="F76" s="3" t="s">
        <v>123</v>
      </c>
      <c r="G76" s="5" t="str">
        <f>T('Current Year Monthly'!V96)</f>
        <v/>
      </c>
    </row>
    <row r="78" spans="1:7" s="28" customFormat="1" x14ac:dyDescent="0.25">
      <c r="A78" s="29">
        <v>19999</v>
      </c>
      <c r="B78" s="29">
        <v>0</v>
      </c>
      <c r="C78" s="29">
        <v>0</v>
      </c>
      <c r="D78" s="30" t="s">
        <v>55</v>
      </c>
      <c r="E78" s="31">
        <v>0</v>
      </c>
      <c r="F78" s="30"/>
      <c r="G78" s="33"/>
    </row>
  </sheetData>
  <pageMargins left="0.7" right="0.7" top="0.75" bottom="0.75" header="0.3" footer="0.3"/>
  <pageSetup orientation="portrait" r:id="rId1"/>
  <headerFooter>
    <oddHeader>&amp;L&amp;F&amp;R&amp;D &amp;T 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F13" sqref="F13"/>
    </sheetView>
  </sheetViews>
  <sheetFormatPr defaultRowHeight="15" x14ac:dyDescent="0.25"/>
  <cols>
    <col min="1" max="1" width="22.5703125" customWidth="1"/>
  </cols>
  <sheetData>
    <row r="1" spans="1:2" x14ac:dyDescent="0.25">
      <c r="A1" t="s">
        <v>187</v>
      </c>
      <c r="B1">
        <f>SUM('Proposed Budget'!J43)</f>
        <v>128969</v>
      </c>
    </row>
    <row r="2" spans="1:2" x14ac:dyDescent="0.25">
      <c r="A2" t="s">
        <v>188</v>
      </c>
      <c r="B2">
        <f>SUM('Proposed Budget'!J58)</f>
        <v>159497</v>
      </c>
    </row>
    <row r="3" spans="1:2" x14ac:dyDescent="0.25">
      <c r="A3" t="s">
        <v>192</v>
      </c>
      <c r="B3">
        <f>SUM('Proposed Budget'!J47)</f>
        <v>0</v>
      </c>
    </row>
    <row r="4" spans="1:2" x14ac:dyDescent="0.25">
      <c r="A4" t="s">
        <v>189</v>
      </c>
      <c r="B4">
        <f>SUM('Proposed Budget'!J62-'Proposed Budget'!J68)</f>
        <v>-12246</v>
      </c>
    </row>
    <row r="5" spans="1:2" x14ac:dyDescent="0.25">
      <c r="A5" t="s">
        <v>135</v>
      </c>
      <c r="B5">
        <f>SUM('Proposed Budget'!J62)</f>
        <v>28191</v>
      </c>
    </row>
    <row r="6" spans="1:2" x14ac:dyDescent="0.25">
      <c r="A6" t="s">
        <v>190</v>
      </c>
      <c r="B6">
        <f>SUM('Proposed Budget'!J93)</f>
        <v>106804</v>
      </c>
    </row>
    <row r="7" spans="1:2" x14ac:dyDescent="0.25">
      <c r="A7" t="s">
        <v>191</v>
      </c>
      <c r="B7">
        <f>SUM('Proposed Budget'!J93-'Proposed Budget'!J97)</f>
        <v>-303962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MNT Proposed Fee Schedule</vt:lpstr>
      <vt:lpstr>Proposed Reserve Plan</vt:lpstr>
      <vt:lpstr>Current Year Monthly</vt:lpstr>
      <vt:lpstr>Proposed Budget</vt:lpstr>
      <vt:lpstr>Notes</vt:lpstr>
      <vt:lpstr>Chart Info</vt:lpstr>
      <vt:lpstr>Chart1</vt:lpstr>
      <vt:lpstr>ABD_TOTINC</vt:lpstr>
      <vt:lpstr>ANL_TOTINC</vt:lpstr>
      <vt:lpstr>MNT_NUMPMT</vt:lpstr>
      <vt:lpstr>NFF_TOTINC</vt:lpstr>
      <vt:lpstr>NPF_TOTINC</vt:lpstr>
      <vt:lpstr>'Current Year Monthly'!Print_Titles</vt:lpstr>
      <vt:lpstr>'MNT Proposed Fee Schedule'!Print_Titles</vt:lpstr>
      <vt:lpstr>Notes!Print_Titles</vt:lpstr>
      <vt:lpstr>'Proposed Budget'!Print_Titles</vt:lpstr>
      <vt:lpstr>'Proposed Reserve Plan'!Print_Titles</vt:lpstr>
      <vt:lpstr>RES_OPTFND</vt:lpstr>
      <vt:lpstr>RES_REQFND</vt:lpstr>
    </vt:vector>
  </TitlesOfParts>
  <Company>Resource Property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Wycoff</dc:creator>
  <cp:lastModifiedBy>Leslie Randolph</cp:lastModifiedBy>
  <cp:lastPrinted>2017-08-24T19:59:11Z</cp:lastPrinted>
  <dcterms:created xsi:type="dcterms:W3CDTF">2017-06-22T20:32:49Z</dcterms:created>
  <dcterms:modified xsi:type="dcterms:W3CDTF">2017-10-27T16:38:38Z</dcterms:modified>
</cp:coreProperties>
</file>